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2-2024\"/>
    </mc:Choice>
  </mc:AlternateContent>
  <xr:revisionPtr revIDLastSave="0" documentId="13_ncr:1_{3735AB68-E357-4564-AD03-1CF14F9BEB0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19" l="1"/>
  <c r="K52" i="19"/>
  <c r="K47" i="19"/>
  <c r="K45" i="19"/>
  <c r="K36" i="19"/>
  <c r="K28" i="19"/>
  <c r="K22" i="19"/>
  <c r="J22" i="19"/>
  <c r="I22" i="19"/>
  <c r="H22" i="19"/>
  <c r="K21" i="19"/>
  <c r="J21" i="19"/>
  <c r="I21" i="19"/>
  <c r="H21" i="19"/>
  <c r="K19" i="19"/>
  <c r="K12" i="19"/>
  <c r="K10" i="19"/>
  <c r="J10" i="19"/>
  <c r="I132" i="18"/>
  <c r="I128" i="18"/>
  <c r="I93" i="18"/>
  <c r="I71" i="18"/>
  <c r="I59" i="18"/>
  <c r="I56" i="18"/>
  <c r="I47" i="18"/>
  <c r="H47" i="18"/>
  <c r="H23" i="20"/>
  <c r="H132" i="18"/>
  <c r="H93"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S39" i="22"/>
  <c r="S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24" i="20"/>
  <c r="I27" i="20" s="1"/>
  <c r="I55" i="20"/>
  <c r="K60" i="19"/>
  <c r="Y63" i="22"/>
  <c r="Y32" i="22"/>
  <c r="Y33" i="22" s="1"/>
  <c r="I36" i="21"/>
  <c r="K14" i="19"/>
  <c r="K61" i="19" s="1"/>
  <c r="J60" i="19"/>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<sst xmlns="http://schemas.openxmlformats.org/spreadsheetml/2006/main" count="532" uniqueCount="519">
  <si>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</si>
  <si>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</si>
  <si>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</si>
  <si>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</si>
  <si>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</si>
  <si>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</si>
  <si>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</si>
  <si>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</si>
  <si>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</si>
  <si>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</si>
  <si>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</si>
  <si>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</si>
  <si>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</si>
  <si>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</si>
  <si>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</si>
  <si>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</si>
  <si>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</si>
  <si>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</si>
  <si>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</si>
  <si>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</si>
  <si>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</si>
  <si>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</si>
  <si>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</si>
  <si>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</si>
  <si>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</si>
  <si>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</si>
  <si>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</si>
  <si>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</si>
  <si>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</si>
  <si>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</si>
  <si>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</si>
  <si>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</si>
  <si>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</si>
  <si>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</si>
  <si>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</si>
  <si>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</si>
  <si>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</si>
  <si>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</si>
  <si>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</si>
  <si>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</si>
  <si>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</si>
  <si>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</si>
  <si>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</si>
  <si>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</si>
  <si>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</si>
  <si>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</si>
  <si>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</si>
  <si>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</si>
  <si>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</si>
  <si>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</si>
  <si>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</si>
  <si>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</si>
  <si>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</si>
  <si>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</si>
  <si>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</si>
  <si>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</si>
  <si>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</si>
  <si>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</si>
  <si>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</si>
  <si>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</si>
  <si>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</si>
  <si>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</si>
  <si>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</si>
  <si>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</si>
  <si>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</si>
  <si>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</si>
  <si>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</si>
  <si>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</si>
  <si>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</si>
  <si>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</si>
  <si>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</si>
  <si>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</si>
  <si>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</si>
  <si>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</si>
  <si>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</si>
  <si>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</si>
  <si>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</si>
  <si>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</si>
  <si>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</si>
  <si>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</si>
  <si>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</si>
  <si>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</si>
  <si>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</si>
  <si>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</si>
  <si>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</si>
  <si>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</si>
  <si>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</si>
  <si>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</si>
  <si>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</si>
  <si>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</si>
  <si>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</si>
  <si>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</si>
  <si>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</si>
  <si>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</si>
  <si>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</si>
  <si>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</si>
  <si>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</si>
  <si>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</si>
  <si>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</si>
  <si>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</si>
  <si>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</si>
  <si>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</si>
  <si>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</si>
  <si>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</si>
  <si>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</si>
  <si>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</si>
  <si>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</si>
  <si>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</si>
  <si>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</si>
  <si>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</si>
  <si>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</si>
  <si>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</si>
  <si>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</si>
  <si>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</si>
  <si>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</si>
  <si>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</si>
  <si>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</si>
  <si>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</si>
  <si>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</si>
  <si>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</si>
  <si>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</si>
  <si>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</si>
  <si>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</si>
  <si>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</si>
  <si>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</si>
  <si>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</si>
  <si>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</si>
  <si>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</si>
  <si>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</si>
  <si>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</si>
  <si>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</si>
  <si>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</si>
  <si>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</si>
  <si>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</si>
  <si>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</si>
  <si>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</si>
  <si>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</si>
  <si>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</si>
  <si>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</si>
  <si>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</si>
  <si>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</si>
  <si>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</si>
  <si>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</si>
  <si>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</si>
  <si>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</si>
  <si>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</si>
  <si>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</si>
  <si>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</si>
  <si>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</si>
  <si>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</si>
  <si>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</si>
  <si>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</si>
  <si>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</si>
  <si>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</si>
  <si>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</si>
  <si>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</si>
  <si>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</si>
  <si>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</si>
  <si>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</si>
  <si>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</si>
  <si>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</si>
  <si>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</si>
  <si>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</si>
  <si>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</si>
  <si>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</si>
  <si>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</si>
  <si>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</si>
  <si>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</si>
  <si>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</si>
  <si>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</si>
  <si>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</si>
  <si>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</si>
  <si>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</si>
  <si>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</si>
  <si>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</si>
  <si>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</si>
  <si>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</si>
  <si>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</si>
  <si>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</si>
  <si>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</si>
  <si>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</si>
  <si>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</si>
  <si>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</si>
  <si>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</si>
  <si>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</si>
  <si>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</si>
  <si>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</si>
  <si>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</si>
  <si>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</si>
  <si>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</si>
  <si>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</si>
  <si>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</si>
  <si>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</si>
  <si>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</si>
  <si>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</si>
  <si>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</si>
  <si>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</si>
  <si>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</si>
  <si>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</si>
  <si>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</si>
  <si>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</si>
  <si>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</si>
  <si>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</si>
  <si>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</si>
  <si>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</si>
  <si>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</si>
  <si>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</si>
  <si>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</si>
  <si>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</si>
  <si>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</si>
  <si>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</si>
  <si>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</si>
  <si>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</si>
  <si>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</si>
  <si>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</si>
  <si>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</si>
  <si>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</si>
  <si>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</si>
  <si>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</si>
  <si>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</si>
  <si>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</si>
  <si>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</si>
  <si>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</si>
  <si>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</si>
  <si>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</si>
  <si>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</si>
  <si>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</si>
  <si>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</si>
  <si>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</si>
  <si>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</si>
  <si>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</si>
  <si>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</si>
  <si>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</si>
  <si>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</si>
  <si>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</si>
  <si>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</si>
  <si>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</si>
  <si>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</si>
  <si>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</si>
  <si>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</si>
  <si>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</si>
  <si>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</si>
  <si>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</si>
  <si>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</si>
  <si>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</si>
  <si>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</si>
  <si>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</si>
  <si>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</si>
  <si>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</si>
  <si>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</si>
  <si>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</si>
  <si>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</si>
  <si>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</si>
  <si>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</si>
  <si>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</si>
  <si>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</si>
  <si>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</si>
  <si>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</si>
  <si>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</si>
  <si>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</si>
  <si>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</si>
  <si>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</si>
  <si>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</si>
  <si>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</si>
  <si>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</si>
  <si>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</si>
  <si>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</si>
  <si>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</si>
  <si>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</si>
  <si>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</si>
  <si>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</si>
  <si>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</si>
  <si>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</si>
  <si>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</si>
  <si>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</si>
  <si>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</si>
  <si>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</si>
  <si>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</si>
  <si>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</si>
  <si>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</si>
  <si>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</si>
  <si>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</si>
  <si>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</si>
  <si>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</si>
  <si>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</si>
  <si>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</si>
  <si>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</si>
  <si>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</si>
  <si>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</si>
  <si>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</si>
  <si>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</si>
  <si>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</si>
  <si>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</si>
  <si>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</si>
  <si>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</si>
  <si>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</si>
  <si>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</si>
  <si>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</si>
  <si>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</si>
  <si>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</si>
  <si>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</si>
  <si>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</si>
  <si>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</si>
  <si>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</si>
  <si>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</si>
  <si>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</si>
  <si>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</si>
  <si>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</si>
  <si>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</si>
  <si>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</si>
  <si>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</si>
  <si>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</si>
  <si>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</si>
  <si>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</si>
  <si>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</si>
  <si>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</si>
  <si>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</si>
  <si>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</si>
  <si>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</si>
  <si>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</si>
  <si>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</si>
  <si>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</si>
  <si>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</si>
  <si>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</si>
  <si>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</si>
  <si>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</si>
  <si>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</si>
  <si>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</si>
  <si>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</si>
  <si>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</si>
  <si>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</si>
  <si>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</si>
  <si>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</si>
  <si>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</si>
  <si>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</si>
  <si>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</si>
  <si>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</si>
  <si>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</si>
  <si>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</si>
  <si>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</si>
  <si>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</si>
  <si>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</si>
  <si>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</si>
  <si>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</si>
  <si>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</si>
  <si>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</si>
  <si>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</si>
  <si>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</si>
  <si>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</si>
  <si>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</si>
  <si>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</si>
  <si>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</si>
  <si>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</si>
  <si>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</si>
  <si>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</si>
  <si>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</si>
  <si>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</si>
  <si>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</si>
  <si>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</si>
  <si>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</si>
  <si>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</si>
  <si>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</si>
  <si>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</si>
  <si>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</si>
  <si>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</si>
  <si>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</si>
  <si>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</si>
  <si>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</si>
  <si>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</si>
  <si>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</si>
  <si>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</si>
  <si>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</si>
  <si>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</si>
  <si>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</si>
  <si>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</si>
  <si>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</si>
  <si>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</si>
  <si>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</si>
  <si>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</si>
  <si>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</si>
  <si>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</si>
  <si>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</si>
  <si>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</si>
  <si>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</si>
  <si>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</si>
  <si>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</si>
  <si>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</si>
  <si>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</si>
  <si>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</si>
  <si>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</si>
  <si>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</si>
  <si>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</si>
  <si>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</si>
  <si>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</si>
  <si>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</si>
  <si>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</si>
  <si>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</si>
  <si>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</si>
  <si>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</si>
  <si>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</si>
  <si>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</si>
  <si>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</si>
  <si>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</si>
  <si>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</si>
  <si>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</si>
  <si>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</si>
  <si>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</si>
  <si>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</si>
  <si>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</si>
  <si>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</si>
  <si>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</si>
  <si>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</si>
  <si>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</si>
  <si>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</si>
  <si>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</si>
  <si>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</si>
  <si>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</si>
  <si>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</si>
  <si>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</si>
  <si>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</si>
  <si>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</si>
  <si>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</si>
  <si>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</si>
  <si>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</si>
  <si>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</si>
  <si>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</si>
  <si>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</si>
  <si>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</si>
  <si>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</si>
  <si>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</si>
  <si>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</si>
  <si>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</si>
  <si>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</si>
  <si>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</si>
  <si>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</si>
  <si>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</si>
  <si>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</si>
  <si>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</si>
  <si>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</si>
  <si>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</si>
  <si>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</si>
  <si>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</si>
  <si>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</si>
  <si>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</si>
  <si>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</si>
  <si>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</si>
  <si>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</si>
  <si>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</si>
  <si>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</si>
  <si>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</si>
  <si>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</si>
  <si>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</si>
  <si>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</si>
  <si>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</si>
  <si>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</si>
  <si>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</si>
  <si>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</si>
  <si>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</si>
  <si>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</si>
  <si>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</si>
  <si>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</si>
  <si>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</si>
  <si>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</si>
  <si>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</si>
  <si>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</si>
  <si>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</si>
  <si>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</si>
  <si>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</si>
  <si>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</si>
  <si>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</si>
  <si>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</si>
  <si>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</si>
  <si>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</si>
  <si>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</si>
  <si>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</si>
  <si>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</si>
  <si>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</si>
  <si>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</si>
  <si>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</si>
  <si>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</si>
  <si>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</si>
  <si>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</si>
  <si>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</si>
  <si>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</si>
  <si>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</si>
  <si>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</si>
  <si>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</si>
  <si>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</si>
  <si>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</si>
  <si>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</si>
  <si>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</si>
  <si>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</si>
  <si>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</si>
  <si>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</si>
  <si>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</si>
  <si>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</si>
  <si>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</si>
  <si>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</si>
  <si>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</si>
  <si>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</si>
  <si>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</si>
  <si>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</si>
  <si>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</si>
  <si>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</si>
  <si>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</si>
  <si>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</si>
  <si>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</si>
  <si>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</si>
  <si>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</si>
  <si>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</si>
  <si>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</si>
  <si>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</si>
  <si>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</si>
  <si>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KN</t>
  </si>
  <si>
    <t>RN</t>
  </si>
  <si>
    <t>Submitter: INSTITUT IGH D.D.</t>
  </si>
  <si>
    <t>balance as at 30.06.2024.</t>
  </si>
  <si>
    <t>for the period 01.01.2024 to 30.06.2024</t>
  </si>
  <si>
    <t>NOTES TO FINANCIAL STATEMENTS - TFI
(drawn up for quarterly reporting periods)
Name of the issuer:  INSTITUT IGH, d.d.
Personal identification number (OIB):   79766124714
Reporting period: 1st January, 2024 to 30th June,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Liabilities based on the pre-bankruptcy settlement as of December 31, 2023. amounted to 39 thousand euros, which were settled in full on February 15, 2024. The audit of the settlement of obligations under the pre-bankruptcy settlement was carried out in June 2024, and the Company submitted a request to the Commercial Court in Zagreb for the cancellation of the pre-bankruptcy status.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June, 2024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2,479 million euros. Property with the right of use is carried out in accordance with MRSF-16.
Receivables and liabilities for interest on loans given and received within the group are shown within the position of receivables and liabilities within the group as of June 30th, 2024. are not significant.
Reservations due to court cases on June 30th, 2024. amount to 769 thousand euros, while the previous year they amounted to 904 thousand euros.
Revenues from the sale of services from related parties as of June 30, 2024. are not significant.
Employee expenses in the current period amounted to EUR 5,3 million, while in the same period last year they amounted to EUR 5,2 million.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Status: pre-bankruptcy which is in the process of deleting the stated status, documentation submitted to the Commercial Court in Zagreb.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1.5 million.
4.  the amount and nature of individual items of income or expenditure which are of exceptional size or incidence.
Significant figurs of income are presented as other income, and refer primarily to income from the sale of real estate in Dubrovnik and Karlovac, income from rent, and cancellation of reservations.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- 366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the_period.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PRIDRUŽENO DRUŠTVO	ADRESA
ELPIDA d.o.o.	Ventilatorska 24, Lučko, Hrvatska	
INSTITUT ZA INFRASTRUKTURNE PROJEKTE	Bugarska, Sofija	
PRVI CRNOGORSKI AUTOPUT d.o.o.	Crna Gora, Podgorica	
IGH KOSOVA SHA	Bill Clinton Bulvari, Kosovo	
IGH ITALY SRL	Palmanova
10. the number and the nominal value or, in the absence of a nominal value, the accounting par value of the shares subscribed during the financial year within the limits of the authorised capital     
During the business year 2023, an additional 867,754 shares were subscribed, nominal value: EUR 10.00, which makes a total book value of EUR 8,677,540.  
During 2024,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100,00%
INCRO d.o.o.	Zagreb, REPUBLIKA HRVATSKA	100,00%
IGH BUSINESS ADVISORY SERVICES d.o.o.	Zagreb, REPUBLIKA HRVATSKA	100,00%
MARTERRA d.o.o.	Zagreb, REPUBLIKA HRVATSKA	100,00%
ETZ d.d.	Zagreb, REPUBLIKA HRVATSKA	86,00%
IGH Mostar d.o.o.	Mostar, BOSNA I HERCEGOVINA	100,00%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IGH INSTITUTE, d.d. concluded a pre-bankruptcy settlement on December 5, 2013. by decision of the Commercial Court in Zagreb, 72 Stpn-305/2013. The settlement became a final on 28.12.2013.
A significant material event after the balance sheet date is the submission of documentation to the Commercial Court in Zagreb, whereby the status of the Company "in pre-bankruptcy" will be terminated, since all obligations that were the subject of the above-mentioned pre-bankruptcy settlement have been settled.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</si>
</sst>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8" sqref="E8"/>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45292</v>
      </c>
      <c r="F4" s="181"/>
      <c r="G4" s="63" t="s">
        <v>3</v>
      </c>
      <c r="H4" s="180">
        <v>45473</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388</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513</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514</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1" zoomScale="110" zoomScaleNormal="100" zoomScaleSheetLayoutView="110" workbookViewId="0">
      <selection activeCell="I118" sqref="I118:I132"/>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515</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9398711.5399999991</v>
      </c>
      <c r="I9" s="30">
        <f>I10+I17+I27+I38+I43</f>
        <v>8338336</v>
      </c>
    </row>
    <row r="10" spans="1:9" ht="12.75" customHeight="1" x14ac:dyDescent="0.2">
      <c r="A10" s="190" t="s">
        <v>50</v>
      </c>
      <c r="B10" s="190"/>
      <c r="C10" s="190"/>
      <c r="D10" s="190"/>
      <c r="E10" s="190"/>
      <c r="F10" s="190"/>
      <c r="G10" s="14">
        <v>3</v>
      </c>
      <c r="H10" s="30">
        <f>H11+H12+H13+H14+H15+H16</f>
        <v>13250.76</v>
      </c>
      <c r="I10" s="30">
        <f>I11+I12+I13+I14+I15+I16</f>
        <v>6671</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8752.24</v>
      </c>
      <c r="I12" s="29">
        <v>0</v>
      </c>
    </row>
    <row r="13" spans="1:9" ht="12.75" customHeight="1" x14ac:dyDescent="0.2">
      <c r="A13" s="186" t="s">
        <v>51</v>
      </c>
      <c r="B13" s="186"/>
      <c r="C13" s="186"/>
      <c r="D13" s="186"/>
      <c r="E13" s="186"/>
      <c r="F13" s="186"/>
      <c r="G13" s="13">
        <v>6</v>
      </c>
      <c r="H13" s="29">
        <v>0</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6671</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6159066.79</v>
      </c>
      <c r="I17" s="30">
        <f>I18+I19+I20+I21+I22+I23+I24+I25+I26</f>
        <v>4948207</v>
      </c>
    </row>
    <row r="18" spans="1:9" ht="12.75" customHeight="1" x14ac:dyDescent="0.2">
      <c r="A18" s="186" t="s">
        <v>56</v>
      </c>
      <c r="B18" s="186"/>
      <c r="C18" s="186"/>
      <c r="D18" s="186"/>
      <c r="E18" s="186"/>
      <c r="F18" s="186"/>
      <c r="G18" s="13">
        <v>11</v>
      </c>
      <c r="H18" s="29">
        <v>462105.11</v>
      </c>
      <c r="I18" s="29">
        <v>0</v>
      </c>
    </row>
    <row r="19" spans="1:9" ht="12.75" customHeight="1" x14ac:dyDescent="0.2">
      <c r="A19" s="186" t="s">
        <v>57</v>
      </c>
      <c r="B19" s="186"/>
      <c r="C19" s="186"/>
      <c r="D19" s="186"/>
      <c r="E19" s="186"/>
      <c r="F19" s="186"/>
      <c r="G19" s="13">
        <v>12</v>
      </c>
      <c r="H19" s="29">
        <v>219952.35</v>
      </c>
      <c r="I19" s="29">
        <v>1992</v>
      </c>
    </row>
    <row r="20" spans="1:9" ht="12.75" customHeight="1" x14ac:dyDescent="0.2">
      <c r="A20" s="186" t="s">
        <v>58</v>
      </c>
      <c r="B20" s="186"/>
      <c r="C20" s="186"/>
      <c r="D20" s="186"/>
      <c r="E20" s="186"/>
      <c r="F20" s="186"/>
      <c r="G20" s="13">
        <v>13</v>
      </c>
      <c r="H20" s="29">
        <v>4547206.58</v>
      </c>
      <c r="I20" s="29">
        <v>4038349</v>
      </c>
    </row>
    <row r="21" spans="1:9" ht="12.75" customHeight="1" x14ac:dyDescent="0.2">
      <c r="A21" s="186" t="s">
        <v>59</v>
      </c>
      <c r="B21" s="186"/>
      <c r="C21" s="186"/>
      <c r="D21" s="186"/>
      <c r="E21" s="186"/>
      <c r="F21" s="186"/>
      <c r="G21" s="13">
        <v>14</v>
      </c>
      <c r="H21" s="29">
        <v>775332.51</v>
      </c>
      <c r="I21" s="29">
        <v>720115</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42261.03</v>
      </c>
      <c r="I23" s="29">
        <v>42895</v>
      </c>
    </row>
    <row r="24" spans="1:9" ht="12.75" customHeight="1" x14ac:dyDescent="0.2">
      <c r="A24" s="186" t="s">
        <v>62</v>
      </c>
      <c r="B24" s="186"/>
      <c r="C24" s="186"/>
      <c r="D24" s="186"/>
      <c r="E24" s="186"/>
      <c r="F24" s="186"/>
      <c r="G24" s="13">
        <v>17</v>
      </c>
      <c r="H24" s="29">
        <v>38937.699999999997</v>
      </c>
      <c r="I24" s="29">
        <v>71584</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32848</v>
      </c>
    </row>
    <row r="27" spans="1:9" ht="12.75" customHeight="1" x14ac:dyDescent="0.2">
      <c r="A27" s="190" t="s">
        <v>65</v>
      </c>
      <c r="B27" s="190"/>
      <c r="C27" s="190"/>
      <c r="D27" s="190"/>
      <c r="E27" s="190"/>
      <c r="F27" s="190"/>
      <c r="G27" s="14">
        <v>20</v>
      </c>
      <c r="H27" s="30">
        <f>SUM(H28:H37)</f>
        <v>3065453.83</v>
      </c>
      <c r="I27" s="30">
        <f>SUM(I28:I37)</f>
        <v>3225309</v>
      </c>
    </row>
    <row r="28" spans="1:9" ht="12.75" customHeight="1" x14ac:dyDescent="0.2">
      <c r="A28" s="186" t="s">
        <v>66</v>
      </c>
      <c r="B28" s="186"/>
      <c r="C28" s="186"/>
      <c r="D28" s="186"/>
      <c r="E28" s="186"/>
      <c r="F28" s="186"/>
      <c r="G28" s="13">
        <v>21</v>
      </c>
      <c r="H28" s="29">
        <v>1053042.68</v>
      </c>
      <c r="I28" s="29">
        <v>1053043</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4313.49</v>
      </c>
      <c r="I30" s="29">
        <v>4313</v>
      </c>
    </row>
    <row r="31" spans="1:9" ht="24" customHeight="1" x14ac:dyDescent="0.2">
      <c r="A31" s="186" t="s">
        <v>69</v>
      </c>
      <c r="B31" s="186"/>
      <c r="C31" s="186"/>
      <c r="D31" s="186"/>
      <c r="E31" s="186"/>
      <c r="F31" s="186"/>
      <c r="G31" s="13">
        <v>24</v>
      </c>
      <c r="H31" s="29">
        <v>1990842.12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177111</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160940.16</v>
      </c>
      <c r="I38" s="30">
        <f>I39+I40+I41+I42</f>
        <v>158149</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115507.13</v>
      </c>
      <c r="I41" s="29">
        <v>112716</v>
      </c>
    </row>
    <row r="42" spans="1:9" ht="12.75" customHeight="1" x14ac:dyDescent="0.2">
      <c r="A42" s="186" t="s">
        <v>80</v>
      </c>
      <c r="B42" s="186"/>
      <c r="C42" s="186"/>
      <c r="D42" s="186"/>
      <c r="E42" s="186"/>
      <c r="F42" s="186"/>
      <c r="G42" s="13">
        <v>35</v>
      </c>
      <c r="H42" s="29">
        <v>45433.03</v>
      </c>
      <c r="I42" s="29">
        <v>45433</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9126828.6599999983</v>
      </c>
      <c r="I44" s="30">
        <f>I45+I53+I60+I70</f>
        <v>10359304</v>
      </c>
    </row>
    <row r="45" spans="1:9" ht="12.75" customHeight="1" x14ac:dyDescent="0.2">
      <c r="A45" s="190" t="s">
        <v>83</v>
      </c>
      <c r="B45" s="190"/>
      <c r="C45" s="190"/>
      <c r="D45" s="190"/>
      <c r="E45" s="190"/>
      <c r="F45" s="190"/>
      <c r="G45" s="14">
        <v>38</v>
      </c>
      <c r="H45" s="30">
        <f>SUM(H46:H52)</f>
        <v>1707902.95</v>
      </c>
      <c r="I45" s="30">
        <f>SUM(I46:I52)</f>
        <v>1707903</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f>108256.06-H26</f>
        <v>75408.06</v>
      </c>
      <c r="I47" s="29">
        <f>108256-I26</f>
        <v>75408</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1632495</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3094922.25</v>
      </c>
      <c r="I53" s="30">
        <f>SUM(I54:I59)</f>
        <v>4400220</v>
      </c>
    </row>
    <row r="54" spans="1:9" ht="12.75" customHeight="1" x14ac:dyDescent="0.2">
      <c r="A54" s="186" t="s">
        <v>92</v>
      </c>
      <c r="B54" s="186"/>
      <c r="C54" s="186"/>
      <c r="D54" s="186"/>
      <c r="E54" s="186"/>
      <c r="F54" s="186"/>
      <c r="G54" s="13">
        <v>47</v>
      </c>
      <c r="H54" s="29">
        <v>25935.94</v>
      </c>
      <c r="I54" s="29">
        <v>30110</v>
      </c>
    </row>
    <row r="55" spans="1:9" ht="23.45" customHeight="1" x14ac:dyDescent="0.2">
      <c r="A55" s="186" t="s">
        <v>93</v>
      </c>
      <c r="B55" s="186"/>
      <c r="C55" s="186"/>
      <c r="D55" s="186"/>
      <c r="E55" s="186"/>
      <c r="F55" s="186"/>
      <c r="G55" s="13">
        <v>48</v>
      </c>
      <c r="H55" s="29">
        <v>687.7</v>
      </c>
      <c r="I55" s="29">
        <v>688</v>
      </c>
    </row>
    <row r="56" spans="1:9" ht="12.75" customHeight="1" x14ac:dyDescent="0.2">
      <c r="A56" s="186" t="s">
        <v>94</v>
      </c>
      <c r="B56" s="186"/>
      <c r="C56" s="186"/>
      <c r="D56" s="186"/>
      <c r="E56" s="186"/>
      <c r="F56" s="186"/>
      <c r="G56" s="13">
        <v>49</v>
      </c>
      <c r="H56" s="29">
        <v>1972833.14</v>
      </c>
      <c r="I56" s="29">
        <f>2577005+406203</f>
        <v>2983208</v>
      </c>
    </row>
    <row r="57" spans="1:9" ht="12.75" customHeight="1" x14ac:dyDescent="0.2">
      <c r="A57" s="186" t="s">
        <v>95</v>
      </c>
      <c r="B57" s="186"/>
      <c r="C57" s="186"/>
      <c r="D57" s="186"/>
      <c r="E57" s="186"/>
      <c r="F57" s="186"/>
      <c r="G57" s="13">
        <v>50</v>
      </c>
      <c r="H57" s="29">
        <v>178816.38</v>
      </c>
      <c r="I57" s="29">
        <v>162880</v>
      </c>
    </row>
    <row r="58" spans="1:9" ht="12.75" customHeight="1" x14ac:dyDescent="0.2">
      <c r="A58" s="186" t="s">
        <v>96</v>
      </c>
      <c r="B58" s="186"/>
      <c r="C58" s="186"/>
      <c r="D58" s="186"/>
      <c r="E58" s="186"/>
      <c r="F58" s="186"/>
      <c r="G58" s="13">
        <v>51</v>
      </c>
      <c r="H58" s="29">
        <v>88904.93</v>
      </c>
      <c r="I58" s="29">
        <v>220925</v>
      </c>
    </row>
    <row r="59" spans="1:9" ht="12.75" customHeight="1" x14ac:dyDescent="0.2">
      <c r="A59" s="186" t="s">
        <v>97</v>
      </c>
      <c r="B59" s="186"/>
      <c r="C59" s="186"/>
      <c r="D59" s="186"/>
      <c r="E59" s="186"/>
      <c r="F59" s="186"/>
      <c r="G59" s="13">
        <v>52</v>
      </c>
      <c r="H59" s="29">
        <v>827744.16</v>
      </c>
      <c r="I59" s="29">
        <f>1408612-406203</f>
        <v>1002409</v>
      </c>
    </row>
    <row r="60" spans="1:9" ht="12.75" customHeight="1" x14ac:dyDescent="0.2">
      <c r="A60" s="190" t="s">
        <v>98</v>
      </c>
      <c r="B60" s="190"/>
      <c r="C60" s="190"/>
      <c r="D60" s="190"/>
      <c r="E60" s="190"/>
      <c r="F60" s="190"/>
      <c r="G60" s="14">
        <v>53</v>
      </c>
      <c r="H60" s="30">
        <f>SUM(H61:H69)</f>
        <v>3914454.9299999997</v>
      </c>
      <c r="I60" s="30">
        <f>SUM(I61:I69)</f>
        <v>4220065</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19311.36</v>
      </c>
      <c r="I63" s="29">
        <v>24434</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3539</v>
      </c>
    </row>
    <row r="68" spans="1:9" ht="12.75" customHeight="1" x14ac:dyDescent="0.2">
      <c r="A68" s="186" t="s">
        <v>106</v>
      </c>
      <c r="B68" s="186"/>
      <c r="C68" s="186"/>
      <c r="D68" s="186"/>
      <c r="E68" s="186"/>
      <c r="F68" s="186"/>
      <c r="G68" s="13">
        <v>61</v>
      </c>
      <c r="H68" s="29">
        <v>3870257.04</v>
      </c>
      <c r="I68" s="29">
        <v>4170744</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409548.53</v>
      </c>
      <c r="I70" s="29">
        <v>31116</v>
      </c>
    </row>
    <row r="71" spans="1:9" ht="12.75" customHeight="1" x14ac:dyDescent="0.2">
      <c r="A71" s="187" t="s">
        <v>109</v>
      </c>
      <c r="B71" s="187"/>
      <c r="C71" s="187"/>
      <c r="D71" s="187"/>
      <c r="E71" s="187"/>
      <c r="F71" s="187"/>
      <c r="G71" s="13">
        <v>64</v>
      </c>
      <c r="H71" s="29">
        <v>1124654.93</v>
      </c>
      <c r="I71" s="29">
        <f>1456891-11604-4+420000</f>
        <v>1865283</v>
      </c>
    </row>
    <row r="72" spans="1:9" ht="12.75" customHeight="1" x14ac:dyDescent="0.2">
      <c r="A72" s="188" t="s">
        <v>110</v>
      </c>
      <c r="B72" s="188"/>
      <c r="C72" s="188"/>
      <c r="D72" s="188"/>
      <c r="E72" s="188"/>
      <c r="F72" s="188"/>
      <c r="G72" s="14">
        <v>65</v>
      </c>
      <c r="H72" s="30">
        <f>H8+H9+H44+H71</f>
        <v>19650195.129999995</v>
      </c>
      <c r="I72" s="30">
        <f>I8+I9+I44+I71</f>
        <v>20562923</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5281778.1800000016</v>
      </c>
      <c r="I75" s="30">
        <f>I76+I77+I78+I84+I85+I91+I94+I97</f>
        <v>5773225.3100000005</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-208382</v>
      </c>
      <c r="I78" s="30">
        <f>SUM(I79:I83)</f>
        <v>-208382</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-400340</v>
      </c>
      <c r="I81" s="29">
        <v>-400340</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1705823.87</v>
      </c>
      <c r="I84" s="105">
        <v>1553567</v>
      </c>
    </row>
    <row r="85" spans="1:9" ht="12.75" customHeight="1" x14ac:dyDescent="0.2">
      <c r="A85" s="190" t="s">
        <v>393</v>
      </c>
      <c r="B85" s="190"/>
      <c r="C85" s="190"/>
      <c r="D85" s="190"/>
      <c r="E85" s="190"/>
      <c r="F85" s="190"/>
      <c r="G85" s="14">
        <v>77</v>
      </c>
      <c r="H85" s="30">
        <f>H86+H87+H88+H89+H90</f>
        <v>94540.42</v>
      </c>
      <c r="I85" s="30">
        <f>I86+I87+I88+I89+I90</f>
        <v>94540.42</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-39170.58</v>
      </c>
      <c r="I90" s="29">
        <v>-39170.58</v>
      </c>
    </row>
    <row r="91" spans="1:9" ht="24" customHeight="1" x14ac:dyDescent="0.2">
      <c r="A91" s="190" t="s">
        <v>397</v>
      </c>
      <c r="B91" s="190"/>
      <c r="C91" s="190"/>
      <c r="D91" s="190"/>
      <c r="E91" s="190"/>
      <c r="F91" s="190"/>
      <c r="G91" s="14">
        <v>83</v>
      </c>
      <c r="H91" s="30">
        <f>H92-H93</f>
        <v>-17174719</v>
      </c>
      <c r="I91" s="30">
        <f>I92-I93</f>
        <v>-11018708</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f>14143272+3031447</f>
        <v>17174719</v>
      </c>
      <c r="I93" s="29">
        <f>H93-H95-72231</f>
        <v>11018708</v>
      </c>
    </row>
    <row r="94" spans="1:9" ht="12.75" customHeight="1" x14ac:dyDescent="0.2">
      <c r="A94" s="190" t="s">
        <v>398</v>
      </c>
      <c r="B94" s="190"/>
      <c r="C94" s="190"/>
      <c r="D94" s="190"/>
      <c r="E94" s="190"/>
      <c r="F94" s="190"/>
      <c r="G94" s="14">
        <v>86</v>
      </c>
      <c r="H94" s="30">
        <f>H95-H96</f>
        <v>6083780</v>
      </c>
      <c r="I94" s="30">
        <f>I95-I96</f>
        <v>571473</v>
      </c>
    </row>
    <row r="95" spans="1:9" ht="12.75" customHeight="1" x14ac:dyDescent="0.2">
      <c r="A95" s="186" t="s">
        <v>126</v>
      </c>
      <c r="B95" s="186"/>
      <c r="C95" s="186"/>
      <c r="D95" s="186"/>
      <c r="E95" s="186"/>
      <c r="F95" s="186"/>
      <c r="G95" s="13">
        <v>87</v>
      </c>
      <c r="H95" s="29">
        <v>6083780</v>
      </c>
      <c r="I95" s="29">
        <v>571473</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0</v>
      </c>
      <c r="I97" s="29">
        <v>0</v>
      </c>
    </row>
    <row r="98" spans="1:9" ht="12.75" customHeight="1" x14ac:dyDescent="0.2">
      <c r="A98" s="188" t="s">
        <v>399</v>
      </c>
      <c r="B98" s="188"/>
      <c r="C98" s="188"/>
      <c r="D98" s="188"/>
      <c r="E98" s="188"/>
      <c r="F98" s="188"/>
      <c r="G98" s="14">
        <v>90</v>
      </c>
      <c r="H98" s="30">
        <f>SUM(H99:H104)</f>
        <v>1324489.47</v>
      </c>
      <c r="I98" s="30">
        <f>SUM(I99:I104)</f>
        <v>1189776</v>
      </c>
    </row>
    <row r="99" spans="1:9" ht="31.9" customHeight="1" x14ac:dyDescent="0.2">
      <c r="A99" s="186" t="s">
        <v>129</v>
      </c>
      <c r="B99" s="186"/>
      <c r="C99" s="186"/>
      <c r="D99" s="186"/>
      <c r="E99" s="186"/>
      <c r="F99" s="186"/>
      <c r="G99" s="13">
        <v>91</v>
      </c>
      <c r="H99" s="29">
        <v>85243.88</v>
      </c>
      <c r="I99" s="29">
        <v>85244</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769539</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334993</v>
      </c>
    </row>
    <row r="105" spans="1:9" ht="12.75" customHeight="1" x14ac:dyDescent="0.2">
      <c r="A105" s="188" t="s">
        <v>400</v>
      </c>
      <c r="B105" s="188"/>
      <c r="C105" s="188"/>
      <c r="D105" s="188"/>
      <c r="E105" s="188"/>
      <c r="F105" s="188"/>
      <c r="G105" s="14">
        <v>97</v>
      </c>
      <c r="H105" s="30">
        <f>SUM(H106:H116)</f>
        <v>2267880.85</v>
      </c>
      <c r="I105" s="30">
        <f>SUM(I106:I116)</f>
        <v>1815145</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30899.15</v>
      </c>
      <c r="I110" s="29">
        <v>648</v>
      </c>
    </row>
    <row r="111" spans="1:9" ht="12.75" customHeight="1" x14ac:dyDescent="0.2">
      <c r="A111" s="186" t="s">
        <v>140</v>
      </c>
      <c r="B111" s="186"/>
      <c r="C111" s="186"/>
      <c r="D111" s="186"/>
      <c r="E111" s="186"/>
      <c r="F111" s="186"/>
      <c r="G111" s="13">
        <v>103</v>
      </c>
      <c r="H111" s="29">
        <v>1880621.34</v>
      </c>
      <c r="I111" s="29">
        <v>1447201</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26269</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330091.27</v>
      </c>
      <c r="I116" s="29">
        <v>341027</v>
      </c>
    </row>
    <row r="117" spans="1:9" ht="12.75" customHeight="1" x14ac:dyDescent="0.2">
      <c r="A117" s="188" t="s">
        <v>401</v>
      </c>
      <c r="B117" s="188"/>
      <c r="C117" s="188"/>
      <c r="D117" s="188"/>
      <c r="E117" s="188"/>
      <c r="F117" s="188"/>
      <c r="G117" s="14">
        <v>109</v>
      </c>
      <c r="H117" s="30">
        <f>SUM(H118:H131)</f>
        <v>10359990.669999998</v>
      </c>
      <c r="I117" s="30">
        <f>SUM(I118:I131)</f>
        <v>11375500</v>
      </c>
    </row>
    <row r="118" spans="1:9" ht="12.75" customHeight="1" x14ac:dyDescent="0.2">
      <c r="A118" s="186" t="s">
        <v>146</v>
      </c>
      <c r="B118" s="186"/>
      <c r="C118" s="186"/>
      <c r="D118" s="186"/>
      <c r="E118" s="186"/>
      <c r="F118" s="186"/>
      <c r="G118" s="13">
        <v>110</v>
      </c>
      <c r="H118" s="29">
        <v>51080.79</v>
      </c>
      <c r="I118" s="29">
        <v>61938</v>
      </c>
    </row>
    <row r="119" spans="1:9" ht="22.15" customHeight="1" x14ac:dyDescent="0.2">
      <c r="A119" s="186" t="s">
        <v>147</v>
      </c>
      <c r="B119" s="186"/>
      <c r="C119" s="186"/>
      <c r="D119" s="186"/>
      <c r="E119" s="186"/>
      <c r="F119" s="186"/>
      <c r="G119" s="13">
        <v>111</v>
      </c>
      <c r="H119" s="29">
        <v>170709.04</v>
      </c>
      <c r="I119" s="29">
        <v>175209</v>
      </c>
    </row>
    <row r="120" spans="1:9" ht="12.75" customHeight="1" x14ac:dyDescent="0.2">
      <c r="A120" s="186" t="s">
        <v>148</v>
      </c>
      <c r="B120" s="186"/>
      <c r="C120" s="186"/>
      <c r="D120" s="186"/>
      <c r="E120" s="186"/>
      <c r="F120" s="186"/>
      <c r="G120" s="13">
        <v>112</v>
      </c>
      <c r="H120" s="29">
        <v>412055.12</v>
      </c>
      <c r="I120" s="29">
        <v>412055</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3261576.1</v>
      </c>
      <c r="I122" s="29">
        <v>3113304</v>
      </c>
    </row>
    <row r="123" spans="1:9" ht="12.75" customHeight="1" x14ac:dyDescent="0.2">
      <c r="A123" s="186" t="s">
        <v>151</v>
      </c>
      <c r="B123" s="186"/>
      <c r="C123" s="186"/>
      <c r="D123" s="186"/>
      <c r="E123" s="186"/>
      <c r="F123" s="186"/>
      <c r="G123" s="13">
        <v>115</v>
      </c>
      <c r="H123" s="29">
        <v>9241.61</v>
      </c>
      <c r="I123" s="29">
        <v>16615</v>
      </c>
    </row>
    <row r="124" spans="1:9" ht="12.75" customHeight="1" x14ac:dyDescent="0.2">
      <c r="A124" s="186" t="s">
        <v>152</v>
      </c>
      <c r="B124" s="186"/>
      <c r="C124" s="186"/>
      <c r="D124" s="186"/>
      <c r="E124" s="186"/>
      <c r="F124" s="186"/>
      <c r="G124" s="13">
        <v>116</v>
      </c>
      <c r="H124" s="29">
        <v>783334.06</v>
      </c>
      <c r="I124" s="29">
        <v>661106</v>
      </c>
    </row>
    <row r="125" spans="1:9" ht="12.75" customHeight="1" x14ac:dyDescent="0.2">
      <c r="A125" s="186" t="s">
        <v>153</v>
      </c>
      <c r="B125" s="186"/>
      <c r="C125" s="186"/>
      <c r="D125" s="186"/>
      <c r="E125" s="186"/>
      <c r="F125" s="186"/>
      <c r="G125" s="13">
        <v>117</v>
      </c>
      <c r="H125" s="29">
        <v>2849204.13</v>
      </c>
      <c r="I125" s="29">
        <v>3876007</v>
      </c>
    </row>
    <row r="126" spans="1:9" x14ac:dyDescent="0.2">
      <c r="A126" s="186" t="s">
        <v>154</v>
      </c>
      <c r="B126" s="186"/>
      <c r="C126" s="186"/>
      <c r="D126" s="186"/>
      <c r="E126" s="186"/>
      <c r="F126" s="186"/>
      <c r="G126" s="13">
        <v>118</v>
      </c>
      <c r="H126" s="29">
        <v>91003.86</v>
      </c>
      <c r="I126" s="29">
        <v>0</v>
      </c>
    </row>
    <row r="127" spans="1:9" x14ac:dyDescent="0.2">
      <c r="A127" s="186" t="s">
        <v>155</v>
      </c>
      <c r="B127" s="186"/>
      <c r="C127" s="186"/>
      <c r="D127" s="186"/>
      <c r="E127" s="186"/>
      <c r="F127" s="186"/>
      <c r="G127" s="13">
        <v>119</v>
      </c>
      <c r="H127" s="29">
        <v>817421.15</v>
      </c>
      <c r="I127" s="29">
        <v>800506</v>
      </c>
    </row>
    <row r="128" spans="1:9" x14ac:dyDescent="0.2">
      <c r="A128" s="186" t="s">
        <v>156</v>
      </c>
      <c r="B128" s="186"/>
      <c r="C128" s="186"/>
      <c r="D128" s="186"/>
      <c r="E128" s="186"/>
      <c r="F128" s="186"/>
      <c r="G128" s="13">
        <v>120</v>
      </c>
      <c r="H128" s="29">
        <v>1498146.53</v>
      </c>
      <c r="I128" s="29">
        <f>1892147</f>
        <v>1892147</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416218.28</v>
      </c>
      <c r="I131" s="29">
        <v>366613</v>
      </c>
    </row>
    <row r="132" spans="1:9" ht="22.15" customHeight="1" x14ac:dyDescent="0.2">
      <c r="A132" s="187" t="s">
        <v>160</v>
      </c>
      <c r="B132" s="187"/>
      <c r="C132" s="187"/>
      <c r="D132" s="187"/>
      <c r="E132" s="187"/>
      <c r="F132" s="187"/>
      <c r="G132" s="13">
        <v>124</v>
      </c>
      <c r="H132" s="29">
        <f>416056</f>
        <v>416056</v>
      </c>
      <c r="I132" s="29">
        <f>409277</f>
        <v>409277</v>
      </c>
    </row>
    <row r="133" spans="1:9" x14ac:dyDescent="0.2">
      <c r="A133" s="188" t="s">
        <v>402</v>
      </c>
      <c r="B133" s="188"/>
      <c r="C133" s="188"/>
      <c r="D133" s="188"/>
      <c r="E133" s="188"/>
      <c r="F133" s="188"/>
      <c r="G133" s="14">
        <v>125</v>
      </c>
      <c r="H133" s="30">
        <f>H75+H98+H105+H117+H132</f>
        <v>19650195.170000002</v>
      </c>
      <c r="I133" s="30">
        <f>I75+I98+I105+I117+I132</f>
        <v>20562923.310000002</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D29" zoomScale="110" zoomScaleNormal="100" zoomScaleSheetLayoutView="110" workbookViewId="0">
      <selection activeCell="J65" sqref="J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517</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14060650</v>
      </c>
      <c r="I8" s="108">
        <f>SUM(I9:I13)</f>
        <v>4910175</v>
      </c>
      <c r="J8" s="108">
        <f>SUM(J9:J13)</f>
        <v>10238036</v>
      </c>
      <c r="K8" s="108">
        <f>SUM(K9:K13)</f>
        <v>5292306</v>
      </c>
    </row>
    <row r="9" spans="1:11" x14ac:dyDescent="0.2">
      <c r="A9" s="186" t="s">
        <v>171</v>
      </c>
      <c r="B9" s="186"/>
      <c r="C9" s="186"/>
      <c r="D9" s="186"/>
      <c r="E9" s="186"/>
      <c r="F9" s="186"/>
      <c r="G9" s="13">
        <v>2</v>
      </c>
      <c r="H9" s="119">
        <v>1487</v>
      </c>
      <c r="I9" s="119">
        <v>1287</v>
      </c>
      <c r="J9" s="119">
        <v>398</v>
      </c>
      <c r="K9" s="119">
        <v>199</v>
      </c>
    </row>
    <row r="10" spans="1:11" x14ac:dyDescent="0.2">
      <c r="A10" s="186" t="s">
        <v>172</v>
      </c>
      <c r="B10" s="186"/>
      <c r="C10" s="186"/>
      <c r="D10" s="186"/>
      <c r="E10" s="186"/>
      <c r="F10" s="186"/>
      <c r="G10" s="13">
        <v>3</v>
      </c>
      <c r="H10" s="119">
        <v>7986161</v>
      </c>
      <c r="I10" s="119">
        <v>4228492</v>
      </c>
      <c r="J10" s="119">
        <f>8647550+420000</f>
        <v>9067550</v>
      </c>
      <c r="K10" s="119">
        <f>8647550-3777450+420000</f>
        <v>5290100</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4014</v>
      </c>
      <c r="I12" s="119">
        <v>2007</v>
      </c>
      <c r="J12" s="119">
        <v>4014</v>
      </c>
      <c r="K12" s="119">
        <f>4014-2007</f>
        <v>2007</v>
      </c>
    </row>
    <row r="13" spans="1:11" x14ac:dyDescent="0.2">
      <c r="A13" s="186" t="s">
        <v>175</v>
      </c>
      <c r="B13" s="186"/>
      <c r="C13" s="186"/>
      <c r="D13" s="186"/>
      <c r="E13" s="186"/>
      <c r="F13" s="186"/>
      <c r="G13" s="13">
        <v>6</v>
      </c>
      <c r="H13" s="119">
        <v>6068988</v>
      </c>
      <c r="I13" s="119">
        <v>678389</v>
      </c>
      <c r="J13" s="119">
        <v>1166074</v>
      </c>
      <c r="K13" s="119">
        <v>0</v>
      </c>
    </row>
    <row r="14" spans="1:11" ht="22.15" customHeight="1" x14ac:dyDescent="0.2">
      <c r="A14" s="216" t="s">
        <v>404</v>
      </c>
      <c r="B14" s="217"/>
      <c r="C14" s="217"/>
      <c r="D14" s="217"/>
      <c r="E14" s="217"/>
      <c r="F14" s="217"/>
      <c r="G14" s="14">
        <v>7</v>
      </c>
      <c r="H14" s="108">
        <f>H15+H16+H20+H24+H25+H26+H29+H36</f>
        <v>9984259</v>
      </c>
      <c r="I14" s="108">
        <f>I15+I16+I20+I24+I25+I26+I29+I36</f>
        <v>5014046</v>
      </c>
      <c r="J14" s="108">
        <f>J15+J16+J20+J24+J25+J26+J29+J36</f>
        <v>9628719</v>
      </c>
      <c r="K14" s="108">
        <f>K15+K16+K20+K24+K25+K26+K29+K36</f>
        <v>5097449</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2760693</v>
      </c>
      <c r="I16" s="108">
        <f>SUM(I17:I19)</f>
        <v>1514152</v>
      </c>
      <c r="J16" s="108">
        <f>SUM(J17:J19)</f>
        <v>2509628</v>
      </c>
      <c r="K16" s="108">
        <f>SUM(K17:K19)</f>
        <v>1513220</v>
      </c>
    </row>
    <row r="17" spans="1:11" x14ac:dyDescent="0.2">
      <c r="A17" s="218" t="s">
        <v>177</v>
      </c>
      <c r="B17" s="218"/>
      <c r="C17" s="218"/>
      <c r="D17" s="218"/>
      <c r="E17" s="218"/>
      <c r="F17" s="218"/>
      <c r="G17" s="13">
        <v>10</v>
      </c>
      <c r="H17" s="119">
        <v>378329</v>
      </c>
      <c r="I17" s="119">
        <v>140360</v>
      </c>
      <c r="J17" s="119">
        <v>322486</v>
      </c>
      <c r="K17" s="119">
        <v>170308</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2382364</v>
      </c>
      <c r="I19" s="119">
        <v>1373792</v>
      </c>
      <c r="J19" s="119">
        <v>2187142</v>
      </c>
      <c r="K19" s="119">
        <f>1342912</f>
        <v>1342912</v>
      </c>
    </row>
    <row r="20" spans="1:11" x14ac:dyDescent="0.2">
      <c r="A20" s="190" t="s">
        <v>406</v>
      </c>
      <c r="B20" s="190"/>
      <c r="C20" s="190"/>
      <c r="D20" s="190"/>
      <c r="E20" s="190"/>
      <c r="F20" s="190"/>
      <c r="G20" s="14">
        <v>13</v>
      </c>
      <c r="H20" s="108">
        <f>SUM(H21:H23)</f>
        <v>5231684</v>
      </c>
      <c r="I20" s="108">
        <f>SUM(I21:I23)</f>
        <v>2490768</v>
      </c>
      <c r="J20" s="108">
        <f>SUM(J21:J23)</f>
        <v>5350240</v>
      </c>
      <c r="K20" s="108">
        <f>SUM(K21:K23)</f>
        <v>2812225</v>
      </c>
    </row>
    <row r="21" spans="1:11" x14ac:dyDescent="0.2">
      <c r="A21" s="218" t="s">
        <v>180</v>
      </c>
      <c r="B21" s="218"/>
      <c r="C21" s="218"/>
      <c r="D21" s="218"/>
      <c r="E21" s="218"/>
      <c r="F21" s="218"/>
      <c r="G21" s="13">
        <v>14</v>
      </c>
      <c r="H21" s="119">
        <f>2741678+511163</f>
        <v>3252841</v>
      </c>
      <c r="I21" s="119">
        <f>1264395+294769</f>
        <v>1559164</v>
      </c>
      <c r="J21" s="119">
        <f>4248247-875483</f>
        <v>3372764</v>
      </c>
      <c r="K21" s="119">
        <f>2240736-452803</f>
        <v>1787933</v>
      </c>
    </row>
    <row r="22" spans="1:11" x14ac:dyDescent="0.2">
      <c r="A22" s="218" t="s">
        <v>181</v>
      </c>
      <c r="B22" s="218"/>
      <c r="C22" s="218"/>
      <c r="D22" s="218"/>
      <c r="E22" s="218"/>
      <c r="F22" s="218"/>
      <c r="G22" s="13">
        <v>15</v>
      </c>
      <c r="H22" s="119">
        <f>1827786-511163</f>
        <v>1316623</v>
      </c>
      <c r="I22" s="119">
        <f>915596-294769</f>
        <v>620827</v>
      </c>
      <c r="J22" s="122">
        <f>444192+875483</f>
        <v>1319675</v>
      </c>
      <c r="K22" s="119">
        <f>233637+452803</f>
        <v>686440</v>
      </c>
    </row>
    <row r="23" spans="1:11" x14ac:dyDescent="0.2">
      <c r="A23" s="218" t="s">
        <v>182</v>
      </c>
      <c r="B23" s="218"/>
      <c r="C23" s="218"/>
      <c r="D23" s="218"/>
      <c r="E23" s="218"/>
      <c r="F23" s="218"/>
      <c r="G23" s="13">
        <v>16</v>
      </c>
      <c r="H23" s="119">
        <v>662220</v>
      </c>
      <c r="I23" s="119">
        <v>310777</v>
      </c>
      <c r="J23" s="119">
        <v>657801</v>
      </c>
      <c r="K23" s="119">
        <v>337852</v>
      </c>
    </row>
    <row r="24" spans="1:11" x14ac:dyDescent="0.2">
      <c r="A24" s="186" t="s">
        <v>183</v>
      </c>
      <c r="B24" s="186"/>
      <c r="C24" s="186"/>
      <c r="D24" s="186"/>
      <c r="E24" s="186"/>
      <c r="F24" s="186"/>
      <c r="G24" s="13">
        <v>17</v>
      </c>
      <c r="H24" s="119">
        <v>1093459</v>
      </c>
      <c r="I24" s="119">
        <v>552574</v>
      </c>
      <c r="J24" s="119">
        <v>1137416</v>
      </c>
      <c r="K24" s="119">
        <v>507203</v>
      </c>
    </row>
    <row r="25" spans="1:11" x14ac:dyDescent="0.2">
      <c r="A25" s="186" t="s">
        <v>184</v>
      </c>
      <c r="B25" s="186"/>
      <c r="C25" s="186"/>
      <c r="D25" s="186"/>
      <c r="E25" s="186"/>
      <c r="F25" s="186"/>
      <c r="G25" s="13">
        <v>18</v>
      </c>
      <c r="H25" s="119">
        <v>416845</v>
      </c>
      <c r="I25" s="119">
        <v>257276</v>
      </c>
      <c r="J25" s="119">
        <v>254598</v>
      </c>
      <c r="K25" s="119">
        <v>163709</v>
      </c>
    </row>
    <row r="26" spans="1:11" x14ac:dyDescent="0.2">
      <c r="A26" s="190" t="s">
        <v>407</v>
      </c>
      <c r="B26" s="190"/>
      <c r="C26" s="190"/>
      <c r="D26" s="190"/>
      <c r="E26" s="190"/>
      <c r="F26" s="190"/>
      <c r="G26" s="14">
        <v>19</v>
      </c>
      <c r="H26" s="108">
        <f>H27+H28</f>
        <v>129803</v>
      </c>
      <c r="I26" s="108">
        <f>I27+I28</f>
        <v>86694</v>
      </c>
      <c r="J26" s="108">
        <f>J27+J28</f>
        <v>175670</v>
      </c>
      <c r="K26" s="108">
        <f>K27+K28</f>
        <v>4476</v>
      </c>
    </row>
    <row r="27" spans="1:11" x14ac:dyDescent="0.2">
      <c r="A27" s="218" t="s">
        <v>185</v>
      </c>
      <c r="B27" s="218"/>
      <c r="C27" s="218"/>
      <c r="D27" s="218"/>
      <c r="E27" s="218"/>
      <c r="F27" s="218"/>
      <c r="G27" s="13">
        <v>20</v>
      </c>
      <c r="H27" s="119">
        <v>0</v>
      </c>
      <c r="I27" s="119">
        <v>0</v>
      </c>
      <c r="J27" s="119">
        <v>0</v>
      </c>
      <c r="K27" s="119">
        <v>0</v>
      </c>
    </row>
    <row r="28" spans="1:11" x14ac:dyDescent="0.2">
      <c r="A28" s="218" t="s">
        <v>186</v>
      </c>
      <c r="B28" s="218"/>
      <c r="C28" s="218"/>
      <c r="D28" s="218"/>
      <c r="E28" s="218"/>
      <c r="F28" s="218"/>
      <c r="G28" s="13">
        <v>21</v>
      </c>
      <c r="H28" s="119">
        <v>129803</v>
      </c>
      <c r="I28" s="119">
        <v>86694</v>
      </c>
      <c r="J28" s="119">
        <v>175670</v>
      </c>
      <c r="K28" s="119">
        <f>4476</f>
        <v>4476</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351775</v>
      </c>
      <c r="I36" s="119">
        <v>112582</v>
      </c>
      <c r="J36" s="119">
        <v>201167</v>
      </c>
      <c r="K36" s="119">
        <f>96616</f>
        <v>96616</v>
      </c>
    </row>
    <row r="37" spans="1:11" x14ac:dyDescent="0.2">
      <c r="A37" s="216" t="s">
        <v>409</v>
      </c>
      <c r="B37" s="217"/>
      <c r="C37" s="217"/>
      <c r="D37" s="217"/>
      <c r="E37" s="217"/>
      <c r="F37" s="217"/>
      <c r="G37" s="14">
        <v>30</v>
      </c>
      <c r="H37" s="108">
        <f>SUM(H38:H47)</f>
        <v>16821</v>
      </c>
      <c r="I37" s="108">
        <f>SUM(I38:I47)</f>
        <v>6450</v>
      </c>
      <c r="J37" s="108">
        <f>SUM(J38:J47)</f>
        <v>14949</v>
      </c>
      <c r="K37" s="108">
        <f>SUM(K38:K47)</f>
        <v>14293</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129</v>
      </c>
      <c r="J41" s="119">
        <v>0</v>
      </c>
      <c r="K41" s="119">
        <v>0</v>
      </c>
    </row>
    <row r="42" spans="1:11" ht="25.15" customHeight="1" x14ac:dyDescent="0.2">
      <c r="A42" s="186" t="s">
        <v>198</v>
      </c>
      <c r="B42" s="186"/>
      <c r="C42" s="186"/>
      <c r="D42" s="186"/>
      <c r="E42" s="186"/>
      <c r="F42" s="186"/>
      <c r="G42" s="13">
        <v>35</v>
      </c>
      <c r="H42" s="119"/>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371</v>
      </c>
      <c r="I44" s="119">
        <v>0</v>
      </c>
      <c r="J44" s="119">
        <v>299</v>
      </c>
      <c r="K44" s="119">
        <v>197</v>
      </c>
    </row>
    <row r="45" spans="1:11" x14ac:dyDescent="0.2">
      <c r="A45" s="186" t="s">
        <v>201</v>
      </c>
      <c r="B45" s="186"/>
      <c r="C45" s="186"/>
      <c r="D45" s="186"/>
      <c r="E45" s="186"/>
      <c r="F45" s="186"/>
      <c r="G45" s="13">
        <v>38</v>
      </c>
      <c r="H45" s="119">
        <v>3772</v>
      </c>
      <c r="I45" s="119">
        <v>829</v>
      </c>
      <c r="J45" s="119">
        <v>1014</v>
      </c>
      <c r="K45" s="119">
        <f>460</f>
        <v>460</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12678</v>
      </c>
      <c r="I47" s="119">
        <v>5492</v>
      </c>
      <c r="J47" s="119">
        <v>13636</v>
      </c>
      <c r="K47" s="119">
        <f>13636</f>
        <v>13636</v>
      </c>
    </row>
    <row r="48" spans="1:11" x14ac:dyDescent="0.2">
      <c r="A48" s="216" t="s">
        <v>410</v>
      </c>
      <c r="B48" s="217"/>
      <c r="C48" s="217"/>
      <c r="D48" s="217"/>
      <c r="E48" s="217"/>
      <c r="F48" s="217"/>
      <c r="G48" s="14">
        <v>41</v>
      </c>
      <c r="H48" s="108">
        <f>SUM(H49:H55)</f>
        <v>240260</v>
      </c>
      <c r="I48" s="108">
        <f>SUM(I49:I55)</f>
        <v>105578</v>
      </c>
      <c r="J48" s="108">
        <f>SUM(J49:J55)</f>
        <v>117457</v>
      </c>
      <c r="K48" s="108">
        <f>SUM(K49:K55)</f>
        <v>69433</v>
      </c>
    </row>
    <row r="49" spans="1:11" ht="25.15" customHeight="1" x14ac:dyDescent="0.2">
      <c r="A49" s="186" t="s">
        <v>204</v>
      </c>
      <c r="B49" s="186"/>
      <c r="C49" s="186"/>
      <c r="D49" s="186"/>
      <c r="E49" s="186"/>
      <c r="F49" s="186"/>
      <c r="G49" s="13">
        <v>42</v>
      </c>
      <c r="H49" s="119">
        <v>0</v>
      </c>
      <c r="I49" s="119">
        <v>0</v>
      </c>
      <c r="J49" s="119">
        <v>1329</v>
      </c>
      <c r="K49" s="119">
        <v>710</v>
      </c>
    </row>
    <row r="50" spans="1:11" ht="24" customHeight="1" x14ac:dyDescent="0.2">
      <c r="A50" s="212" t="s">
        <v>205</v>
      </c>
      <c r="B50" s="212"/>
      <c r="C50" s="212"/>
      <c r="D50" s="212"/>
      <c r="E50" s="212"/>
      <c r="F50" s="212"/>
      <c r="G50" s="13">
        <v>43</v>
      </c>
      <c r="H50" s="119">
        <v>0</v>
      </c>
      <c r="I50" s="119">
        <v>0</v>
      </c>
      <c r="J50" s="119">
        <v>0</v>
      </c>
      <c r="K50" s="119">
        <v>0</v>
      </c>
    </row>
    <row r="51" spans="1:11" x14ac:dyDescent="0.2">
      <c r="A51" s="212" t="s">
        <v>206</v>
      </c>
      <c r="B51" s="212"/>
      <c r="C51" s="212"/>
      <c r="D51" s="212"/>
      <c r="E51" s="212"/>
      <c r="F51" s="212"/>
      <c r="G51" s="13">
        <v>44</v>
      </c>
      <c r="H51" s="119">
        <v>215646</v>
      </c>
      <c r="I51" s="119">
        <v>93838</v>
      </c>
      <c r="J51" s="119">
        <v>91587</v>
      </c>
      <c r="K51" s="119">
        <v>54050</v>
      </c>
    </row>
    <row r="52" spans="1:11" x14ac:dyDescent="0.2">
      <c r="A52" s="212" t="s">
        <v>207</v>
      </c>
      <c r="B52" s="212"/>
      <c r="C52" s="212"/>
      <c r="D52" s="212"/>
      <c r="E52" s="212"/>
      <c r="F52" s="212"/>
      <c r="G52" s="13">
        <v>45</v>
      </c>
      <c r="H52" s="119">
        <v>23557</v>
      </c>
      <c r="I52" s="119">
        <v>11740</v>
      </c>
      <c r="J52" s="119">
        <v>17158</v>
      </c>
      <c r="K52" s="119">
        <f>15293-620</f>
        <v>14673</v>
      </c>
    </row>
    <row r="53" spans="1:11" x14ac:dyDescent="0.2">
      <c r="A53" s="212" t="s">
        <v>208</v>
      </c>
      <c r="B53" s="212"/>
      <c r="C53" s="212"/>
      <c r="D53" s="212"/>
      <c r="E53" s="212"/>
      <c r="F53" s="212"/>
      <c r="G53" s="13">
        <v>46</v>
      </c>
      <c r="H53" s="119">
        <v>0</v>
      </c>
      <c r="I53" s="119">
        <v>0</v>
      </c>
      <c r="J53" s="119">
        <v>0</v>
      </c>
      <c r="K53" s="119">
        <v>0</v>
      </c>
    </row>
    <row r="54" spans="1:11" x14ac:dyDescent="0.2">
      <c r="A54" s="212" t="s">
        <v>209</v>
      </c>
      <c r="B54" s="212"/>
      <c r="C54" s="212"/>
      <c r="D54" s="212"/>
      <c r="E54" s="212"/>
      <c r="F54" s="212"/>
      <c r="G54" s="13">
        <v>47</v>
      </c>
      <c r="H54" s="119">
        <v>0</v>
      </c>
      <c r="I54" s="119">
        <v>0</v>
      </c>
      <c r="J54" s="119">
        <v>0</v>
      </c>
      <c r="K54" s="119">
        <v>0</v>
      </c>
    </row>
    <row r="55" spans="1:11" x14ac:dyDescent="0.2">
      <c r="A55" s="212" t="s">
        <v>210</v>
      </c>
      <c r="B55" s="212"/>
      <c r="C55" s="212"/>
      <c r="D55" s="212"/>
      <c r="E55" s="212"/>
      <c r="F55" s="212"/>
      <c r="G55" s="13">
        <v>48</v>
      </c>
      <c r="H55" s="119">
        <v>1057</v>
      </c>
      <c r="I55" s="119">
        <v>0</v>
      </c>
      <c r="J55" s="119">
        <v>7383</v>
      </c>
      <c r="K55" s="119">
        <v>0</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14077471</v>
      </c>
      <c r="I60" s="108">
        <f t="shared" ref="I60:K60" si="0">I8+I37+I56+I57</f>
        <v>4916625</v>
      </c>
      <c r="J60" s="108">
        <f t="shared" si="0"/>
        <v>10252985</v>
      </c>
      <c r="K60" s="108">
        <f t="shared" si="0"/>
        <v>5306599</v>
      </c>
    </row>
    <row r="61" spans="1:11" x14ac:dyDescent="0.2">
      <c r="A61" s="216" t="s">
        <v>412</v>
      </c>
      <c r="B61" s="217"/>
      <c r="C61" s="217"/>
      <c r="D61" s="217"/>
      <c r="E61" s="217"/>
      <c r="F61" s="217"/>
      <c r="G61" s="14">
        <v>54</v>
      </c>
      <c r="H61" s="108">
        <f>H14+H48+H58+H59</f>
        <v>10224519</v>
      </c>
      <c r="I61" s="108">
        <f t="shared" ref="I61:K61" si="1">I14+I48+I58+I59</f>
        <v>5119624</v>
      </c>
      <c r="J61" s="108">
        <f t="shared" si="1"/>
        <v>9746176</v>
      </c>
      <c r="K61" s="108">
        <f t="shared" si="1"/>
        <v>5166882</v>
      </c>
    </row>
    <row r="62" spans="1:11" x14ac:dyDescent="0.2">
      <c r="A62" s="216" t="s">
        <v>413</v>
      </c>
      <c r="B62" s="217"/>
      <c r="C62" s="217"/>
      <c r="D62" s="217"/>
      <c r="E62" s="217"/>
      <c r="F62" s="217"/>
      <c r="G62" s="14">
        <v>55</v>
      </c>
      <c r="H62" s="108">
        <f>H60-H61</f>
        <v>3852952</v>
      </c>
      <c r="I62" s="108">
        <f t="shared" ref="I62:K62" si="2">I60-I61</f>
        <v>-202999</v>
      </c>
      <c r="J62" s="108">
        <f t="shared" si="2"/>
        <v>506809</v>
      </c>
      <c r="K62" s="108">
        <f t="shared" si="2"/>
        <v>139717</v>
      </c>
    </row>
    <row r="63" spans="1:11" x14ac:dyDescent="0.2">
      <c r="A63" s="215" t="s">
        <v>415</v>
      </c>
      <c r="B63" s="215"/>
      <c r="C63" s="215"/>
      <c r="D63" s="215"/>
      <c r="E63" s="215"/>
      <c r="F63" s="215"/>
      <c r="G63" s="14">
        <v>56</v>
      </c>
      <c r="H63" s="108">
        <f>+IF((H60-H61)&gt;0,(H60-H61),0)</f>
        <v>3852952</v>
      </c>
      <c r="I63" s="108">
        <f t="shared" ref="I63:K63" si="3">+IF((I60-I61)&gt;0,(I60-I61),0)</f>
        <v>0</v>
      </c>
      <c r="J63" s="108">
        <f t="shared" si="3"/>
        <v>506809</v>
      </c>
      <c r="K63" s="108">
        <f t="shared" si="3"/>
        <v>139717</v>
      </c>
    </row>
    <row r="64" spans="1:11" x14ac:dyDescent="0.2">
      <c r="A64" s="215" t="s">
        <v>414</v>
      </c>
      <c r="B64" s="215"/>
      <c r="C64" s="215"/>
      <c r="D64" s="215"/>
      <c r="E64" s="215"/>
      <c r="F64" s="215"/>
      <c r="G64" s="14">
        <v>57</v>
      </c>
      <c r="H64" s="108">
        <f>+IF((H60-H61)&lt;0,(H60-H61),0)</f>
        <v>0</v>
      </c>
      <c r="I64" s="108">
        <f t="shared" ref="I64:K64" si="4">+IF((I60-I61)&lt;0,(I60-I61),0)</f>
        <v>-202999</v>
      </c>
      <c r="J64" s="108">
        <f t="shared" si="4"/>
        <v>0</v>
      </c>
      <c r="K64" s="108">
        <f t="shared" si="4"/>
        <v>0</v>
      </c>
    </row>
    <row r="65" spans="1:11" x14ac:dyDescent="0.2">
      <c r="A65" s="221" t="s">
        <v>215</v>
      </c>
      <c r="B65" s="221"/>
      <c r="C65" s="221"/>
      <c r="D65" s="221"/>
      <c r="E65" s="221"/>
      <c r="F65" s="221"/>
      <c r="G65" s="13">
        <v>58</v>
      </c>
      <c r="H65" s="119">
        <v>0</v>
      </c>
      <c r="I65" s="119">
        <v>0</v>
      </c>
      <c r="J65" s="119">
        <v>-64664</v>
      </c>
      <c r="K65" s="119">
        <f>-64664+22334</f>
        <v>-42330</v>
      </c>
    </row>
    <row r="66" spans="1:11" x14ac:dyDescent="0.2">
      <c r="A66" s="216" t="s">
        <v>416</v>
      </c>
      <c r="B66" s="217"/>
      <c r="C66" s="217"/>
      <c r="D66" s="217"/>
      <c r="E66" s="217"/>
      <c r="F66" s="217"/>
      <c r="G66" s="14">
        <v>59</v>
      </c>
      <c r="H66" s="108">
        <f>H62-H65</f>
        <v>3852952</v>
      </c>
      <c r="I66" s="108">
        <f t="shared" ref="I66:K66" si="5">I62-I65</f>
        <v>-202999</v>
      </c>
      <c r="J66" s="108">
        <f t="shared" si="5"/>
        <v>571473</v>
      </c>
      <c r="K66" s="108">
        <f t="shared" si="5"/>
        <v>182047</v>
      </c>
    </row>
    <row r="67" spans="1:11" x14ac:dyDescent="0.2">
      <c r="A67" s="215" t="s">
        <v>417</v>
      </c>
      <c r="B67" s="215"/>
      <c r="C67" s="215"/>
      <c r="D67" s="215"/>
      <c r="E67" s="215"/>
      <c r="F67" s="215"/>
      <c r="G67" s="14">
        <v>60</v>
      </c>
      <c r="H67" s="108">
        <f>+IF((H62-H65)&gt;0,(H62-H65),0)</f>
        <v>3852952</v>
      </c>
      <c r="I67" s="108">
        <f t="shared" ref="I67:K67" si="6">+IF((I62-I65)&gt;0,(I62-I65),0)</f>
        <v>0</v>
      </c>
      <c r="J67" s="108">
        <f t="shared" si="6"/>
        <v>571473</v>
      </c>
      <c r="K67" s="108">
        <f t="shared" si="6"/>
        <v>182047</v>
      </c>
    </row>
    <row r="68" spans="1:11" x14ac:dyDescent="0.2">
      <c r="A68" s="215" t="s">
        <v>418</v>
      </c>
      <c r="B68" s="215"/>
      <c r="C68" s="215"/>
      <c r="D68" s="215"/>
      <c r="E68" s="215"/>
      <c r="F68" s="215"/>
      <c r="G68" s="14">
        <v>61</v>
      </c>
      <c r="H68" s="108">
        <f>+IF((H62-H65)&lt;0,(H62-H65),0)</f>
        <v>0</v>
      </c>
      <c r="I68" s="108">
        <f t="shared" ref="I68:K68" si="7">+IF((I62-I65)&lt;0,(I62-I65),0)</f>
        <v>-202999</v>
      </c>
      <c r="J68" s="108">
        <f t="shared" si="7"/>
        <v>0</v>
      </c>
      <c r="K68" s="108">
        <f t="shared" si="7"/>
        <v>0</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1" sqref="I49:I51"/>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01.01.2024 to 30.06.2024</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5069125</v>
      </c>
      <c r="I8" s="120">
        <v>506809</v>
      </c>
    </row>
    <row r="9" spans="1:9" ht="12.75" customHeight="1" x14ac:dyDescent="0.2">
      <c r="A9" s="258" t="s">
        <v>238</v>
      </c>
      <c r="B9" s="259"/>
      <c r="C9" s="259"/>
      <c r="D9" s="259"/>
      <c r="E9" s="259"/>
      <c r="F9" s="260"/>
      <c r="G9" s="21">
        <v>2</v>
      </c>
      <c r="H9" s="35">
        <f>H10+H11+H12+H13+H14+H15+H16+H17</f>
        <v>11932188</v>
      </c>
      <c r="I9" s="35">
        <f>I10+I11+I12+I13+I14+I15+I16+I17</f>
        <v>1213372</v>
      </c>
    </row>
    <row r="10" spans="1:9" ht="12.75" customHeight="1" x14ac:dyDescent="0.2">
      <c r="A10" s="255" t="s">
        <v>239</v>
      </c>
      <c r="B10" s="256"/>
      <c r="C10" s="256"/>
      <c r="D10" s="256"/>
      <c r="E10" s="256"/>
      <c r="F10" s="257"/>
      <c r="G10" s="22">
        <v>3</v>
      </c>
      <c r="H10" s="120">
        <v>2194341</v>
      </c>
      <c r="I10" s="120">
        <v>1137416</v>
      </c>
    </row>
    <row r="11" spans="1:9" ht="22.15" customHeight="1" x14ac:dyDescent="0.2">
      <c r="A11" s="255" t="s">
        <v>240</v>
      </c>
      <c r="B11" s="256"/>
      <c r="C11" s="256"/>
      <c r="D11" s="256"/>
      <c r="E11" s="256"/>
      <c r="F11" s="257"/>
      <c r="G11" s="22">
        <v>4</v>
      </c>
      <c r="H11" s="120">
        <v>0</v>
      </c>
      <c r="I11" s="120">
        <v>680065</v>
      </c>
    </row>
    <row r="12" spans="1:9" ht="23.45" customHeight="1" x14ac:dyDescent="0.2">
      <c r="A12" s="255" t="s">
        <v>241</v>
      </c>
      <c r="B12" s="256"/>
      <c r="C12" s="256"/>
      <c r="D12" s="256"/>
      <c r="E12" s="256"/>
      <c r="F12" s="257"/>
      <c r="G12" s="22">
        <v>5</v>
      </c>
      <c r="H12" s="120">
        <v>-5551629</v>
      </c>
      <c r="I12" s="120">
        <v>0</v>
      </c>
    </row>
    <row r="13" spans="1:9" ht="12.75" customHeight="1" x14ac:dyDescent="0.2">
      <c r="A13" s="255" t="s">
        <v>242</v>
      </c>
      <c r="B13" s="256"/>
      <c r="C13" s="256"/>
      <c r="D13" s="256"/>
      <c r="E13" s="256"/>
      <c r="F13" s="257"/>
      <c r="G13" s="22">
        <v>6</v>
      </c>
      <c r="H13" s="120">
        <v>-1881</v>
      </c>
      <c r="I13" s="120">
        <v>0</v>
      </c>
    </row>
    <row r="14" spans="1:9" ht="12.75" customHeight="1" x14ac:dyDescent="0.2">
      <c r="A14" s="255" t="s">
        <v>243</v>
      </c>
      <c r="B14" s="256"/>
      <c r="C14" s="256"/>
      <c r="D14" s="256"/>
      <c r="E14" s="256"/>
      <c r="F14" s="257"/>
      <c r="G14" s="22">
        <v>7</v>
      </c>
      <c r="H14" s="120">
        <v>673744</v>
      </c>
      <c r="I14" s="120">
        <v>0</v>
      </c>
    </row>
    <row r="15" spans="1:9" ht="12.75" customHeight="1" x14ac:dyDescent="0.2">
      <c r="A15" s="255" t="s">
        <v>244</v>
      </c>
      <c r="B15" s="256"/>
      <c r="C15" s="256"/>
      <c r="D15" s="256"/>
      <c r="E15" s="256"/>
      <c r="F15" s="257"/>
      <c r="G15" s="22">
        <v>8</v>
      </c>
      <c r="H15" s="120">
        <v>-453835</v>
      </c>
      <c r="I15" s="120">
        <v>0</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v>15071448</v>
      </c>
      <c r="I17" s="120">
        <v>-604109</v>
      </c>
    </row>
    <row r="18" spans="1:9" ht="28.15" customHeight="1" x14ac:dyDescent="0.2">
      <c r="A18" s="234" t="s">
        <v>247</v>
      </c>
      <c r="B18" s="235"/>
      <c r="C18" s="235"/>
      <c r="D18" s="235"/>
      <c r="E18" s="235"/>
      <c r="F18" s="236"/>
      <c r="G18" s="21">
        <v>11</v>
      </c>
      <c r="H18" s="35">
        <f>H8+H9</f>
        <v>17001313</v>
      </c>
      <c r="I18" s="35">
        <f>I8+I9</f>
        <v>1720181</v>
      </c>
    </row>
    <row r="19" spans="1:9" ht="12.75" customHeight="1" x14ac:dyDescent="0.2">
      <c r="A19" s="258" t="s">
        <v>248</v>
      </c>
      <c r="B19" s="259"/>
      <c r="C19" s="259"/>
      <c r="D19" s="259"/>
      <c r="E19" s="259"/>
      <c r="F19" s="260"/>
      <c r="G19" s="21">
        <v>12</v>
      </c>
      <c r="H19" s="35">
        <f>H20+H21+H22+H23</f>
        <v>-16149203</v>
      </c>
      <c r="I19" s="35">
        <f>I20+I21+I22+I23</f>
        <v>-1169752</v>
      </c>
    </row>
    <row r="20" spans="1:9" ht="12.75" customHeight="1" x14ac:dyDescent="0.2">
      <c r="A20" s="255" t="s">
        <v>249</v>
      </c>
      <c r="B20" s="256"/>
      <c r="C20" s="256"/>
      <c r="D20" s="256"/>
      <c r="E20" s="256"/>
      <c r="F20" s="257"/>
      <c r="G20" s="22">
        <v>13</v>
      </c>
      <c r="H20" s="120">
        <v>-17834231</v>
      </c>
      <c r="I20" s="120">
        <v>1106513</v>
      </c>
    </row>
    <row r="21" spans="1:9" ht="12.75" customHeight="1" x14ac:dyDescent="0.2">
      <c r="A21" s="255" t="s">
        <v>250</v>
      </c>
      <c r="B21" s="256"/>
      <c r="C21" s="256"/>
      <c r="D21" s="256"/>
      <c r="E21" s="256"/>
      <c r="F21" s="257"/>
      <c r="G21" s="22">
        <v>14</v>
      </c>
      <c r="H21" s="120">
        <v>1749503</v>
      </c>
      <c r="I21" s="120">
        <v>-1303140</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f>-63619-856</f>
        <v>-64475</v>
      </c>
      <c r="I23" s="120">
        <v>-973125</v>
      </c>
    </row>
    <row r="24" spans="1:9" ht="12.75" customHeight="1" x14ac:dyDescent="0.2">
      <c r="A24" s="234" t="s">
        <v>253</v>
      </c>
      <c r="B24" s="235"/>
      <c r="C24" s="235"/>
      <c r="D24" s="235"/>
      <c r="E24" s="235"/>
      <c r="F24" s="236"/>
      <c r="G24" s="21">
        <v>17</v>
      </c>
      <c r="H24" s="35">
        <f>H18+H19</f>
        <v>852110</v>
      </c>
      <c r="I24" s="35">
        <f>I18+I19</f>
        <v>550429</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852110</v>
      </c>
      <c r="I27" s="37">
        <f>I24+I25+I26</f>
        <v>550429</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457439</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86588</v>
      </c>
      <c r="I33" s="121">
        <v>0</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544027</v>
      </c>
      <c r="I35" s="40">
        <f>I29+I30+I31+I32+I33+I34</f>
        <v>0</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0</v>
      </c>
      <c r="I38" s="121">
        <v>-465464.6</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0</v>
      </c>
      <c r="I41" s="40">
        <f>I36+I37+I38+I39+I40</f>
        <v>-465464.6</v>
      </c>
    </row>
    <row r="42" spans="1:9" ht="29.45" customHeight="1" x14ac:dyDescent="0.2">
      <c r="A42" s="237" t="s">
        <v>271</v>
      </c>
      <c r="B42" s="238"/>
      <c r="C42" s="238"/>
      <c r="D42" s="238"/>
      <c r="E42" s="238"/>
      <c r="F42" s="239"/>
      <c r="G42" s="23">
        <v>34</v>
      </c>
      <c r="H42" s="41">
        <f>H35+H41</f>
        <v>544027</v>
      </c>
      <c r="I42" s="41">
        <f>I35+I41</f>
        <v>-465464.6</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-463671.49000000011</v>
      </c>
    </row>
    <row r="47" spans="1:9" ht="12.75" customHeight="1" x14ac:dyDescent="0.2">
      <c r="A47" s="246" t="s">
        <v>276</v>
      </c>
      <c r="B47" s="247"/>
      <c r="C47" s="247"/>
      <c r="D47" s="247"/>
      <c r="E47" s="247"/>
      <c r="F47" s="248"/>
      <c r="G47" s="22">
        <v>38</v>
      </c>
      <c r="H47" s="38">
        <v>0</v>
      </c>
      <c r="I47" s="38">
        <v>108</v>
      </c>
    </row>
    <row r="48" spans="1:9" ht="22.15" customHeight="1" x14ac:dyDescent="0.2">
      <c r="A48" s="234" t="s">
        <v>277</v>
      </c>
      <c r="B48" s="235"/>
      <c r="C48" s="235"/>
      <c r="D48" s="235"/>
      <c r="E48" s="235"/>
      <c r="F48" s="236"/>
      <c r="G48" s="21">
        <v>39</v>
      </c>
      <c r="H48" s="40">
        <f>H44+H45+H46+H47</f>
        <v>0</v>
      </c>
      <c r="I48" s="40">
        <f>I44+I45+I46+I47</f>
        <v>-463563.49000000011</v>
      </c>
    </row>
    <row r="49" spans="1:9" ht="24.6" customHeight="1" x14ac:dyDescent="0.2">
      <c r="A49" s="246" t="s">
        <v>278</v>
      </c>
      <c r="B49" s="247"/>
      <c r="C49" s="247"/>
      <c r="D49" s="247"/>
      <c r="E49" s="247"/>
      <c r="F49" s="248"/>
      <c r="G49" s="22">
        <v>40</v>
      </c>
      <c r="H49" s="121">
        <v>-17221</v>
      </c>
      <c r="I49" s="121">
        <v>0</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-1427603</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-1444824</v>
      </c>
      <c r="I54" s="40">
        <f>I49+I50+I51+I52+I53</f>
        <v>0</v>
      </c>
    </row>
    <row r="55" spans="1:9" ht="29.45" customHeight="1" x14ac:dyDescent="0.2">
      <c r="A55" s="249" t="s">
        <v>284</v>
      </c>
      <c r="B55" s="250"/>
      <c r="C55" s="250"/>
      <c r="D55" s="250"/>
      <c r="E55" s="250"/>
      <c r="F55" s="251"/>
      <c r="G55" s="21">
        <v>46</v>
      </c>
      <c r="H55" s="40">
        <f>H48+H54</f>
        <v>-1444824</v>
      </c>
      <c r="I55" s="40">
        <f>I48+I54</f>
        <v>-463563.49000000011</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-48687</v>
      </c>
      <c r="I57" s="40">
        <f>I27+I42+I55+I56</f>
        <v>-378599.09000000008</v>
      </c>
    </row>
    <row r="58" spans="1:9" ht="24" customHeight="1" x14ac:dyDescent="0.2">
      <c r="A58" s="252" t="s">
        <v>287</v>
      </c>
      <c r="B58" s="253"/>
      <c r="C58" s="253"/>
      <c r="D58" s="253"/>
      <c r="E58" s="253"/>
      <c r="F58" s="254"/>
      <c r="G58" s="22">
        <v>49</v>
      </c>
      <c r="H58" s="121">
        <v>458402</v>
      </c>
      <c r="I58" s="121">
        <f>H59</f>
        <v>409715</v>
      </c>
    </row>
    <row r="59" spans="1:9" ht="31.15" customHeight="1" x14ac:dyDescent="0.2">
      <c r="A59" s="237" t="s">
        <v>288</v>
      </c>
      <c r="B59" s="238"/>
      <c r="C59" s="238"/>
      <c r="D59" s="238"/>
      <c r="E59" s="238"/>
      <c r="F59" s="239"/>
      <c r="G59" s="23">
        <v>50</v>
      </c>
      <c r="H59" s="41">
        <f>H57+H58</f>
        <v>409715</v>
      </c>
      <c r="I59" s="41">
        <f>I57+I58</f>
        <v>31115.909999999916</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R30" zoomScaleNormal="100" zoomScaleSheetLayoutView="100" workbookViewId="0">
      <selection activeCell="U51" sqref="U5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45292</v>
      </c>
      <c r="F2" s="4" t="s">
        <v>327</v>
      </c>
      <c r="G2" s="9">
        <v>45473</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15476105</v>
      </c>
      <c r="I7" s="53">
        <v>-33895</v>
      </c>
      <c r="J7" s="53">
        <v>0</v>
      </c>
      <c r="K7" s="53">
        <v>191958</v>
      </c>
      <c r="L7" s="53">
        <v>400340</v>
      </c>
      <c r="M7" s="53">
        <v>0</v>
      </c>
      <c r="N7" s="53">
        <v>0</v>
      </c>
      <c r="O7" s="53">
        <v>5209116</v>
      </c>
      <c r="P7" s="53">
        <v>133711</v>
      </c>
      <c r="Q7" s="53">
        <v>0</v>
      </c>
      <c r="R7" s="53">
        <v>0</v>
      </c>
      <c r="S7" s="53">
        <v>0</v>
      </c>
      <c r="T7" s="53">
        <v>-39492</v>
      </c>
      <c r="U7" s="53">
        <v>-33460256</v>
      </c>
      <c r="V7" s="53">
        <v>2251077</v>
      </c>
      <c r="W7" s="54">
        <f>H7+I7+J7+K7-L7+M7+N7+O7+P7+Q7+R7+U7+V7+S7+T7</f>
        <v>-10672016</v>
      </c>
      <c r="X7" s="53"/>
      <c r="Y7" s="54">
        <f>W7+X7</f>
        <v>-10672016</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15476105</v>
      </c>
      <c r="I10" s="54">
        <f t="shared" ref="I10:Y10" si="2">I7+I8+I9</f>
        <v>-33895</v>
      </c>
      <c r="J10" s="54">
        <f t="shared" si="2"/>
        <v>0</v>
      </c>
      <c r="K10" s="54">
        <f t="shared" si="2"/>
        <v>191958</v>
      </c>
      <c r="L10" s="54">
        <f t="shared" si="2"/>
        <v>400340</v>
      </c>
      <c r="M10" s="54">
        <f t="shared" si="2"/>
        <v>0</v>
      </c>
      <c r="N10" s="54">
        <f t="shared" si="2"/>
        <v>0</v>
      </c>
      <c r="O10" s="54">
        <f t="shared" si="2"/>
        <v>5209116</v>
      </c>
      <c r="P10" s="54">
        <f t="shared" si="2"/>
        <v>133711</v>
      </c>
      <c r="Q10" s="54">
        <f t="shared" si="2"/>
        <v>0</v>
      </c>
      <c r="R10" s="54">
        <f t="shared" si="2"/>
        <v>0</v>
      </c>
      <c r="S10" s="54">
        <f t="shared" si="2"/>
        <v>0</v>
      </c>
      <c r="T10" s="54">
        <f t="shared" si="2"/>
        <v>-39492</v>
      </c>
      <c r="U10" s="54">
        <f t="shared" si="2"/>
        <v>-33460256</v>
      </c>
      <c r="V10" s="54">
        <f t="shared" si="2"/>
        <v>2251077</v>
      </c>
      <c r="W10" s="54">
        <f t="shared" si="2"/>
        <v>-10672016</v>
      </c>
      <c r="X10" s="54">
        <f t="shared" si="2"/>
        <v>0</v>
      </c>
      <c r="Y10" s="54">
        <f t="shared" si="2"/>
        <v>-10672016</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6083780</v>
      </c>
      <c r="W11" s="54">
        <f t="shared" ref="W11:W29" si="3">H11+I11+J11+K11-L11+M11+N11+O11+P11+Q11+R11+U11+V11+S11+T11</f>
        <v>6083780</v>
      </c>
      <c r="X11" s="53"/>
      <c r="Y11" s="54">
        <f t="shared" ref="Y11:Y29" si="4">W11+X11</f>
        <v>6083780</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-3503292</v>
      </c>
      <c r="P13" s="55">
        <v>0</v>
      </c>
      <c r="Q13" s="55">
        <v>0</v>
      </c>
      <c r="R13" s="55">
        <v>0</v>
      </c>
      <c r="S13" s="53"/>
      <c r="T13" s="53"/>
      <c r="U13" s="53">
        <v>4687250</v>
      </c>
      <c r="V13" s="53"/>
      <c r="W13" s="54">
        <f t="shared" si="3"/>
        <v>1183958</v>
      </c>
      <c r="X13" s="53"/>
      <c r="Y13" s="54">
        <f t="shared" si="4"/>
        <v>1183958</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c r="P19" s="53"/>
      <c r="Q19" s="53"/>
      <c r="R19" s="53"/>
      <c r="S19" s="53"/>
      <c r="T19" s="53">
        <v>321</v>
      </c>
      <c r="U19" s="53">
        <v>8195</v>
      </c>
      <c r="V19" s="53"/>
      <c r="W19" s="54">
        <f t="shared" si="3"/>
        <v>8516</v>
      </c>
      <c r="X19" s="53"/>
      <c r="Y19" s="54">
        <f t="shared" si="4"/>
        <v>8516</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4" t="s">
        <v>479</v>
      </c>
      <c r="B21" s="294"/>
      <c r="C21" s="294"/>
      <c r="D21" s="294"/>
      <c r="E21" s="294"/>
      <c r="F21" s="294"/>
      <c r="G21" s="6">
        <v>15</v>
      </c>
      <c r="H21" s="53">
        <v>-9339015</v>
      </c>
      <c r="I21" s="53"/>
      <c r="J21" s="53"/>
      <c r="K21" s="53"/>
      <c r="L21" s="53"/>
      <c r="M21" s="53"/>
      <c r="N21" s="53"/>
      <c r="O21" s="53"/>
      <c r="P21" s="53"/>
      <c r="Q21" s="53"/>
      <c r="R21" s="53"/>
      <c r="S21" s="53"/>
      <c r="T21" s="53"/>
      <c r="U21" s="53">
        <v>9339015</v>
      </c>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2251077</v>
      </c>
      <c r="V28" s="53">
        <f>-U28</f>
        <v>-2251077</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400340</v>
      </c>
      <c r="M30" s="56">
        <f t="shared" si="5"/>
        <v>0</v>
      </c>
      <c r="N30" s="56">
        <f t="shared" si="5"/>
        <v>0</v>
      </c>
      <c r="O30" s="56">
        <f t="shared" si="5"/>
        <v>1705824</v>
      </c>
      <c r="P30" s="56">
        <f t="shared" si="5"/>
        <v>133711</v>
      </c>
      <c r="Q30" s="56">
        <f t="shared" si="5"/>
        <v>0</v>
      </c>
      <c r="R30" s="56">
        <f t="shared" si="5"/>
        <v>0</v>
      </c>
      <c r="S30" s="56">
        <f t="shared" si="5"/>
        <v>0</v>
      </c>
      <c r="T30" s="56">
        <f t="shared" si="5"/>
        <v>-39171</v>
      </c>
      <c r="U30" s="56">
        <f t="shared" si="5"/>
        <v>-17174719</v>
      </c>
      <c r="V30" s="56">
        <f t="shared" si="5"/>
        <v>6083780</v>
      </c>
      <c r="W30" s="56">
        <f t="shared" si="5"/>
        <v>5281778</v>
      </c>
      <c r="X30" s="56">
        <f t="shared" si="5"/>
        <v>0</v>
      </c>
      <c r="Y30" s="56">
        <f t="shared" si="5"/>
        <v>5281778</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-3503292</v>
      </c>
      <c r="P32" s="54">
        <f t="shared" si="6"/>
        <v>0</v>
      </c>
      <c r="Q32" s="54">
        <f t="shared" si="6"/>
        <v>0</v>
      </c>
      <c r="R32" s="54">
        <f t="shared" si="6"/>
        <v>0</v>
      </c>
      <c r="S32" s="54">
        <f t="shared" si="6"/>
        <v>0</v>
      </c>
      <c r="T32" s="54">
        <f t="shared" si="6"/>
        <v>321</v>
      </c>
      <c r="U32" s="54">
        <f t="shared" si="6"/>
        <v>4695445</v>
      </c>
      <c r="V32" s="54">
        <f t="shared" si="6"/>
        <v>0</v>
      </c>
      <c r="W32" s="54">
        <f t="shared" si="6"/>
        <v>1192474</v>
      </c>
      <c r="X32" s="54">
        <f t="shared" si="6"/>
        <v>0</v>
      </c>
      <c r="Y32" s="54">
        <f t="shared" si="6"/>
        <v>1192474</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-3503292</v>
      </c>
      <c r="P33" s="54">
        <f t="shared" si="7"/>
        <v>0</v>
      </c>
      <c r="Q33" s="54">
        <f t="shared" si="7"/>
        <v>0</v>
      </c>
      <c r="R33" s="54">
        <f t="shared" si="7"/>
        <v>0</v>
      </c>
      <c r="S33" s="54">
        <f t="shared" si="7"/>
        <v>0</v>
      </c>
      <c r="T33" s="54">
        <f t="shared" si="7"/>
        <v>321</v>
      </c>
      <c r="U33" s="54">
        <f t="shared" si="7"/>
        <v>4695445</v>
      </c>
      <c r="V33" s="54">
        <f t="shared" si="7"/>
        <v>6083780</v>
      </c>
      <c r="W33" s="54">
        <f t="shared" si="7"/>
        <v>7276254</v>
      </c>
      <c r="X33" s="54">
        <f t="shared" si="7"/>
        <v>0</v>
      </c>
      <c r="Y33" s="54">
        <f t="shared" si="7"/>
        <v>7276254</v>
      </c>
    </row>
    <row r="34" spans="1:25" ht="30.75" customHeight="1" x14ac:dyDescent="0.2">
      <c r="A34" s="292" t="s">
        <v>489</v>
      </c>
      <c r="B34" s="293"/>
      <c r="C34" s="293"/>
      <c r="D34" s="293"/>
      <c r="E34" s="293"/>
      <c r="F34" s="293"/>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11590092</v>
      </c>
      <c r="V34" s="56">
        <f t="shared" si="8"/>
        <v>-2251077</v>
      </c>
      <c r="W34" s="56">
        <f t="shared" si="8"/>
        <v>8677540</v>
      </c>
      <c r="X34" s="56">
        <f t="shared" si="8"/>
        <v>0</v>
      </c>
      <c r="Y34" s="56">
        <f t="shared" si="8"/>
        <v>8677540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400340</v>
      </c>
      <c r="M36" s="53">
        <f t="shared" si="9"/>
        <v>0</v>
      </c>
      <c r="N36" s="53">
        <f t="shared" si="9"/>
        <v>0</v>
      </c>
      <c r="O36" s="53">
        <f t="shared" si="9"/>
        <v>1705824</v>
      </c>
      <c r="P36" s="53">
        <f t="shared" si="9"/>
        <v>133711</v>
      </c>
      <c r="Q36" s="53">
        <f t="shared" si="9"/>
        <v>0</v>
      </c>
      <c r="R36" s="53">
        <f t="shared" si="9"/>
        <v>0</v>
      </c>
      <c r="S36" s="53">
        <f t="shared" si="9"/>
        <v>0</v>
      </c>
      <c r="T36" s="53">
        <f t="shared" si="9"/>
        <v>-39171</v>
      </c>
      <c r="U36" s="53">
        <f t="shared" si="9"/>
        <v>-17174719</v>
      </c>
      <c r="V36" s="53">
        <f t="shared" si="9"/>
        <v>6083780</v>
      </c>
      <c r="W36" s="54">
        <f>H36+I36+J36+K36-L36+M36+N36+O36+P36+Q36+R36+U36+V36+S36+T36</f>
        <v>5281778</v>
      </c>
      <c r="X36" s="53"/>
      <c r="Y36" s="54">
        <f t="shared" ref="Y36:Y38" si="10">W36+X36</f>
        <v>5281778</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400340</v>
      </c>
      <c r="M39" s="54">
        <f t="shared" si="12"/>
        <v>0</v>
      </c>
      <c r="N39" s="54">
        <f t="shared" si="12"/>
        <v>0</v>
      </c>
      <c r="O39" s="54">
        <f t="shared" si="12"/>
        <v>1705824</v>
      </c>
      <c r="P39" s="54">
        <f t="shared" si="12"/>
        <v>133711</v>
      </c>
      <c r="Q39" s="54">
        <f t="shared" si="12"/>
        <v>0</v>
      </c>
      <c r="R39" s="54">
        <f t="shared" si="12"/>
        <v>0</v>
      </c>
      <c r="S39" s="54">
        <f t="shared" si="12"/>
        <v>0</v>
      </c>
      <c r="T39" s="54">
        <f t="shared" si="12"/>
        <v>-39171</v>
      </c>
      <c r="U39" s="54">
        <f t="shared" si="12"/>
        <v>-17174719</v>
      </c>
      <c r="V39" s="54">
        <f t="shared" si="12"/>
        <v>6083780</v>
      </c>
      <c r="W39" s="54">
        <f t="shared" si="12"/>
        <v>5281778</v>
      </c>
      <c r="X39" s="54">
        <f t="shared" si="12"/>
        <v>0</v>
      </c>
      <c r="Y39" s="54">
        <f t="shared" si="12"/>
        <v>5281778</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571473</v>
      </c>
      <c r="W40" s="54">
        <f t="shared" ref="W40:W58" si="13">H40+I40+J40+K40-L40+M40+N40+O40+P40+Q40+R40+U40+V40+S40+T40</f>
        <v>571473</v>
      </c>
      <c r="X40" s="53"/>
      <c r="Y40" s="54">
        <f t="shared" ref="Y40:Y58" si="14">W40+X40</f>
        <v>571473</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-152256.87000000011</v>
      </c>
      <c r="P42" s="55">
        <v>0</v>
      </c>
      <c r="Q42" s="55">
        <v>0</v>
      </c>
      <c r="R42" s="55">
        <v>0</v>
      </c>
      <c r="S42" s="53"/>
      <c r="T42" s="53"/>
      <c r="U42" s="53">
        <v>496656</v>
      </c>
      <c r="V42" s="53"/>
      <c r="W42" s="54">
        <f t="shared" si="13"/>
        <v>344399.12999999989</v>
      </c>
      <c r="X42" s="53"/>
      <c r="Y42" s="54">
        <f t="shared" si="14"/>
        <v>344399.12999999989</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c r="P48" s="53"/>
      <c r="Q48" s="53"/>
      <c r="R48" s="53"/>
      <c r="S48" s="53"/>
      <c r="T48" s="53"/>
      <c r="U48" s="53">
        <v>-424425</v>
      </c>
      <c r="V48" s="53"/>
      <c r="W48" s="54">
        <f t="shared" si="13"/>
        <v>-424425</v>
      </c>
      <c r="X48" s="53"/>
      <c r="Y48" s="54">
        <f t="shared" si="14"/>
        <v>-424425</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6083780</v>
      </c>
      <c r="V57" s="53">
        <f>-U57</f>
        <v>-6083780</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400340</v>
      </c>
      <c r="M59" s="56">
        <f t="shared" si="15"/>
        <v>0</v>
      </c>
      <c r="N59" s="56">
        <f t="shared" si="15"/>
        <v>0</v>
      </c>
      <c r="O59" s="56">
        <f t="shared" si="15"/>
        <v>1553567.13</v>
      </c>
      <c r="P59" s="56">
        <f t="shared" si="15"/>
        <v>133711</v>
      </c>
      <c r="Q59" s="56">
        <f t="shared" si="15"/>
        <v>0</v>
      </c>
      <c r="R59" s="56">
        <f t="shared" si="15"/>
        <v>0</v>
      </c>
      <c r="S59" s="56">
        <f t="shared" si="15"/>
        <v>0</v>
      </c>
      <c r="T59" s="56">
        <f t="shared" si="15"/>
        <v>-39171</v>
      </c>
      <c r="U59" s="56">
        <f>SUM(U39:U58)</f>
        <v>-11018708</v>
      </c>
      <c r="V59" s="56">
        <f>SUM(V39:V58)</f>
        <v>571473</v>
      </c>
      <c r="W59" s="56">
        <f>SUM(W39:W58)</f>
        <v>5773225.1299999999</v>
      </c>
      <c r="X59" s="56">
        <f>SUM(X39:X58)</f>
        <v>0</v>
      </c>
      <c r="Y59" s="56">
        <f>SUM(Y39:Y58)</f>
        <v>5773225.1299999999</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-152256.87000000011</v>
      </c>
      <c r="P61" s="54">
        <f t="shared" si="16"/>
        <v>0</v>
      </c>
      <c r="Q61" s="54">
        <f t="shared" si="16"/>
        <v>0</v>
      </c>
      <c r="R61" s="54">
        <f t="shared" si="16"/>
        <v>0</v>
      </c>
      <c r="S61" s="54">
        <f t="shared" si="16"/>
        <v>0</v>
      </c>
      <c r="T61" s="54">
        <f t="shared" si="16"/>
        <v>0</v>
      </c>
      <c r="U61" s="54">
        <f>SUM(U41:U49)</f>
        <v>72231</v>
      </c>
      <c r="V61" s="54">
        <f>SUM(V41:V49)</f>
        <v>0</v>
      </c>
      <c r="W61" s="54">
        <f>SUM(W41:W49)</f>
        <v>-80025.870000000112</v>
      </c>
      <c r="X61" s="54">
        <f>SUM(X41:X49)</f>
        <v>0</v>
      </c>
      <c r="Y61" s="54">
        <f>SUM(Y41:Y49)</f>
        <v>-80025.870000000112</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-152256.87000000011</v>
      </c>
      <c r="P62" s="54">
        <f t="shared" si="17"/>
        <v>0</v>
      </c>
      <c r="Q62" s="54">
        <f t="shared" si="17"/>
        <v>0</v>
      </c>
      <c r="R62" s="54">
        <f t="shared" si="17"/>
        <v>0</v>
      </c>
      <c r="S62" s="54">
        <f t="shared" si="17"/>
        <v>0</v>
      </c>
      <c r="T62" s="54">
        <f t="shared" si="17"/>
        <v>0</v>
      </c>
      <c r="U62" s="54">
        <f>U40+U61</f>
        <v>72231</v>
      </c>
      <c r="V62" s="54">
        <f>V40+V61</f>
        <v>571473</v>
      </c>
      <c r="W62" s="54">
        <f>W40+W61</f>
        <v>491447.12999999989</v>
      </c>
      <c r="X62" s="54">
        <f>X40+X61</f>
        <v>0</v>
      </c>
      <c r="Y62" s="54">
        <f>Y40+Y61</f>
        <v>491447.12999999989</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6083780</v>
      </c>
      <c r="V63" s="56">
        <f>SUM(V50:V58)</f>
        <v>-6083780</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L6" sqref="L6"/>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2024-07-25T15:26:03Z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