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2-2024\KONSOLIDACIJA\"/>
    </mc:Choice>
  </mc:AlternateContent>
  <xr:revisionPtr revIDLastSave="0" documentId="13_ncr:1_{19FDB8E2-4B8A-4C72-8EA1-BAA46DA92045}"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I17" i="20"/>
  <c r="I8" i="20"/>
  <c r="I10" i="20"/>
  <c r="K10" i="26"/>
  <c r="U48" i="22"/>
  <c r="J13" i="26"/>
  <c r="J10" i="26"/>
  <c r="I132" i="18" l="1"/>
  <c r="I71" i="18"/>
  <c r="I122" i="18"/>
  <c r="I21" i="26"/>
  <c r="I23" i="26"/>
  <c r="I22" i="26"/>
  <c r="H21" i="26"/>
  <c r="H22" i="26"/>
  <c r="K65" i="26" l="1"/>
  <c r="K52" i="26"/>
  <c r="I68" i="18" l="1"/>
  <c r="I56" i="18"/>
  <c r="I78" i="18"/>
  <c r="H78" i="18"/>
  <c r="X36" i="22" l="1"/>
  <c r="V28" i="22"/>
  <c r="U28" i="22"/>
  <c r="U21" i="22"/>
  <c r="U13" i="22"/>
  <c r="O42" i="22" l="1"/>
  <c r="V11" i="22" l="1"/>
  <c r="I38" i="18" l="1"/>
  <c r="H125" i="18" l="1"/>
  <c r="H122" i="18"/>
  <c r="H68" i="18"/>
  <c r="H42" i="18"/>
  <c r="H31" i="18"/>
  <c r="A4" i="20" l="1"/>
  <c r="A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67" i="26"/>
  <c r="I68" i="26"/>
  <c r="J66" i="26"/>
  <c r="I95" i="18" s="1"/>
  <c r="V40" i="22" s="1"/>
  <c r="W40" i="22" s="1"/>
  <c r="J68" i="26"/>
  <c r="K67" i="26"/>
  <c r="K68" i="26"/>
  <c r="H66" i="26"/>
  <c r="H67" i="26"/>
  <c r="I85" i="18"/>
  <c r="H85" i="18"/>
  <c r="H54" i="20" l="1"/>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R39" i="22"/>
  <c r="R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57" i="22" s="1"/>
  <c r="U63" i="22" s="1"/>
  <c r="U10" i="22"/>
  <c r="U30" i="22" s="1"/>
  <c r="U36" i="22" s="1"/>
  <c r="U39" i="22" s="1"/>
  <c r="R10" i="22"/>
  <c r="R30" i="22" s="1"/>
  <c r="R36"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105" i="18"/>
  <c r="I98" i="18"/>
  <c r="I94" i="18"/>
  <c r="I91" i="18"/>
  <c r="I60" i="18"/>
  <c r="I53" i="18"/>
  <c r="I45" i="18"/>
  <c r="I27" i="18"/>
  <c r="I17" i="18"/>
  <c r="I10" i="18"/>
  <c r="V39" i="22" l="1"/>
  <c r="U59" i="22"/>
  <c r="I19" i="20"/>
  <c r="I41" i="20"/>
  <c r="I42" i="20" s="1"/>
  <c r="W36" i="22"/>
  <c r="Y36" i="22" s="1"/>
  <c r="Y39" i="22" s="1"/>
  <c r="H39" i="22"/>
  <c r="H59" i="22" s="1"/>
  <c r="V57" i="22"/>
  <c r="V63" i="22" s="1"/>
  <c r="H57" i="20"/>
  <c r="H59" i="20" s="1"/>
  <c r="I55" i="20"/>
  <c r="H72" i="18"/>
  <c r="I44" i="18"/>
  <c r="I75" i="18"/>
  <c r="I133" i="18" s="1"/>
  <c r="I9" i="18"/>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W59" i="22" l="1"/>
  <c r="W63" i="22"/>
  <c r="Y59" i="22"/>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<sst xmlns="http://schemas.openxmlformats.org/spreadsheetml/2006/main" count="528" uniqueCount="464">
  <si>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</si>
  <si>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</si>
  <si>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</si>
  <si>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</si>
  <si>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</si>
  <si>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</si>
  <si>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</si>
  <si>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</si>
  <si>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</si>
  <si>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</si>
  <si>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</si>
  <si>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</si>
  <si>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</si>
  <si>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</si>
  <si>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</si>
  <si>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</si>
  <si>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</si>
  <si>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</si>
  <si>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</si>
  <si>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</si>
  <si>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</si>
  <si>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</si>
  <si>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</si>
  <si>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</si>
  <si>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</si>
  <si>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</si>
  <si>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</si>
  <si>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</si>
  <si>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</si>
  <si>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</si>
  <si>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</si>
  <si>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</si>
  <si>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</si>
  <si>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</si>
  <si>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</si>
  <si>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</si>
  <si>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</si>
  <si>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</si>
  <si>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</si>
  <si>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</si>
  <si>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</si>
  <si>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</si>
  <si>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</si>
  <si>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</si>
  <si>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</si>
  <si>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</si>
  <si>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</si>
  <si>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</si>
  <si>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</si>
  <si>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</si>
  <si>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</si>
  <si>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</si>
  <si>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</si>
  <si>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</si>
  <si>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</si>
  <si>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</si>
  <si>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</si>
  <si>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</si>
  <si>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</si>
  <si>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</si>
  <si>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</si>
  <si>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</si>
  <si>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</si>
  <si>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</si>
  <si>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</si>
  <si>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</si>
  <si>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</si>
  <si>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</si>
  <si>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</si>
  <si>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</si>
  <si>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</si>
  <si>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</si>
  <si>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</si>
  <si>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</si>
  <si>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</si>
  <si>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</si>
  <si>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</si>
  <si>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</si>
  <si>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</si>
  <si>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</si>
  <si>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</si>
  <si>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</si>
  <si>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</si>
  <si>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</si>
  <si>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</si>
  <si>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</si>
  <si>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</si>
  <si>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</si>
  <si>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</si>
  <si>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</si>
  <si>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</si>
  <si>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</si>
  <si>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</si>
  <si>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</si>
  <si>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</si>
  <si>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</si>
  <si>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</si>
  <si>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</si>
  <si>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</si>
  <si>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</si>
  <si>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</si>
  <si>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</si>
  <si>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</si>
  <si>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</si>
  <si>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</si>
  <si>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</si>
  <si>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</si>
  <si>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</si>
  <si>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</si>
  <si>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</si>
  <si>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</si>
  <si>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</si>
  <si>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</si>
  <si>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</si>
  <si>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</si>
  <si>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</si>
  <si>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</si>
  <si>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</si>
  <si>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</si>
  <si>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</si>
  <si>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</si>
  <si>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</si>
  <si>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</si>
  <si>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</si>
  <si>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</si>
  <si>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</si>
  <si>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</si>
  <si>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</si>
  <si>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</si>
  <si>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</si>
  <si>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</si>
  <si>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</si>
  <si>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</si>
  <si>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</si>
  <si>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</si>
  <si>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</si>
  <si>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</si>
  <si>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</si>
  <si>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</si>
  <si>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</si>
  <si>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</si>
  <si>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</si>
  <si>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</si>
  <si>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</si>
  <si>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</si>
  <si>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</si>
  <si>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</si>
  <si>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</si>
  <si>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</si>
  <si>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</si>
  <si>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</si>
  <si>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</si>
  <si>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</si>
  <si>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</si>
  <si>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</si>
  <si>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</si>
  <si>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</si>
  <si>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</si>
  <si>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</si>
  <si>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</si>
  <si>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</si>
  <si>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</si>
  <si>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</si>
  <si>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</si>
  <si>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</si>
  <si>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</si>
  <si>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</si>
  <si>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</si>
  <si>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</si>
  <si>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</si>
  <si>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</si>
  <si>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</si>
  <si>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</si>
  <si>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</si>
  <si>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</si>
  <si>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</si>
  <si>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</si>
  <si>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</si>
  <si>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</si>
  <si>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</si>
  <si>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</si>
  <si>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</si>
  <si>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</si>
  <si>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</si>
  <si>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</si>
  <si>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</si>
  <si>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</si>
  <si>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</si>
  <si>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</si>
  <si>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</si>
  <si>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</si>
  <si>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</si>
  <si>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</si>
  <si>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</si>
  <si>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</si>
  <si>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</si>
  <si>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</si>
  <si>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</si>
  <si>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</si>
  <si>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</si>
  <si>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</si>
  <si>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</si>
  <si>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</si>
  <si>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</si>
  <si>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</si>
  <si>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</si>
  <si>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</si>
  <si>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</si>
  <si>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</si>
  <si>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</si>
  <si>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</si>
  <si>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</si>
  <si>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</si>
  <si>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</si>
  <si>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</si>
  <si>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</si>
  <si>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</si>
  <si>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</si>
  <si>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</si>
  <si>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</si>
  <si>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</si>
  <si>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</si>
  <si>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</si>
  <si>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</si>
  <si>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</si>
  <si>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</si>
  <si>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</si>
  <si>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</si>
  <si>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</si>
  <si>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</si>
  <si>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</si>
  <si>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</si>
  <si>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</si>
  <si>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</si>
  <si>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</si>
  <si>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</si>
  <si>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</si>
  <si>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</si>
  <si>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</si>
  <si>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</si>
  <si>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</si>
  <si>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</si>
  <si>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</si>
  <si>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</si>
  <si>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</si>
  <si>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</si>
  <si>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</si>
  <si>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</si>
  <si>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</si>
  <si>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</si>
  <si>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</si>
  <si>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</si>
  <si>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</si>
  <si>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</si>
  <si>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</si>
  <si>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</si>
  <si>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</si>
  <si>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</si>
  <si>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</si>
  <si>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</si>
  <si>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</si>
  <si>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</si>
  <si>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</si>
  <si>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</si>
  <si>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</si>
  <si>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</si>
  <si>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</si>
  <si>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</si>
  <si>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</si>
  <si>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</si>
  <si>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</si>
  <si>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</si>
  <si>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</si>
  <si>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</si>
  <si>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</si>
  <si>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</si>
  <si>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</si>
  <si>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</si>
  <si>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</si>
  <si>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</si>
  <si>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</si>
  <si>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</si>
  <si>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</si>
  <si>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</si>
  <si>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</si>
  <si>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</si>
  <si>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</si>
  <si>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</si>
  <si>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</si>
  <si>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</si>
  <si>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</si>
  <si>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</si>
  <si>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</si>
  <si>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</si>
  <si>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</si>
  <si>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</si>
  <si>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</si>
  <si>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</si>
  <si>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</si>
  <si>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</si>
  <si>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</si>
  <si>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</si>
  <si>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</si>
  <si>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</si>
  <si>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</si>
  <si>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</si>
  <si>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</si>
  <si>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</si>
  <si>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</si>
  <si>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</si>
  <si>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</si>
  <si>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</si>
  <si>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</si>
  <si>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</si>
  <si>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</si>
  <si>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</si>
  <si>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</si>
  <si>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</si>
  <si>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</si>
  <si>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</si>
  <si>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</si>
  <si>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</si>
  <si>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</si>
  <si>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</si>
  <si>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</si>
  <si>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</si>
  <si>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</si>
  <si>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</si>
  <si>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</si>
  <si>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</si>
  <si>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</si>
  <si>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</si>
  <si>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</si>
  <si>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</si>
  <si>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</si>
  <si>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</si>
  <si>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</si>
  <si>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</si>
  <si>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</si>
  <si>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</si>
  <si>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</si>
  <si>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</si>
  <si>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</si>
  <si>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</si>
  <si>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</si>
  <si>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</si>
  <si>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</si>
  <si>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</si>
  <si>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</si>
  <si>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</si>
  <si>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</si>
  <si>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</si>
  <si>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</si>
  <si>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</si>
  <si>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</si>
  <si>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</si>
  <si>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</si>
  <si>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</si>
  <si>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</si>
  <si>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</si>
  <si>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</si>
  <si>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</si>
  <si>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</si>
  <si>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</si>
  <si>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</si>
  <si>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</si>
  <si>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</si>
  <si>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</si>
  <si>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</si>
  <si>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</si>
  <si>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</si>
  <si>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</si>
  <si>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</si>
  <si>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</si>
  <si>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</si>
  <si>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</si>
  <si>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</si>
  <si>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</si>
  <si>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</si>
  <si>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</si>
  <si>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</si>
  <si>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</si>
  <si>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</si>
  <si>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</si>
  <si>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</si>
  <si>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</si>
  <si>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</si>
  <si>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</si>
  <si>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</si>
  <si>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</si>
  <si>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</si>
  <si>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</si>
  <si>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</si>
  <si>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</si>
  <si>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</si>
  <si>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</si>
  <si>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</si>
  <si>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</si>
  <si>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</si>
  <si>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</si>
  <si>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</si>
  <si>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</si>
  <si>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</si>
  <si>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</si>
  <si>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</si>
  <si>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</si>
  <si>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</si>
  <si>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</si>
  <si>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</si>
  <si>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</si>
  <si>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</si>
  <si>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</si>
  <si>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</si>
  <si>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</si>
  <si>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</si>
  <si>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</si>
  <si>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</si>
  <si>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</si>
  <si>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</si>
  <si>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</si>
  <si>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</si>
  <si>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</si>
  <si>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</si>
  <si>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</si>
  <si>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</si>
  <si>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</si>
  <si>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</si>
  <si>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</si>
  <si>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</si>
  <si>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</si>
  <si>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</si>
  <si>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</si>
  <si>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</si>
  <si>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</si>
  <si>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</si>
  <si>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</si>
  <si>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</si>
  <si>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</si>
  <si>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</si>
  <si>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</si>
  <si>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</si>
  <si>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</si>
  <si>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</si>
  <si>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</si>
  <si>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</si>
  <si>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</si>
  <si>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</si>
  <si>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</si>
  <si>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</si>
  <si>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</si>
  <si>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</si>
  <si>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</si>
  <si>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</si>
  <si>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</si>
  <si>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</si>
  <si>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</si>
  <si>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</si>
  <si>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</si>
  <si>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</si>
  <si>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</si>
  <si>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</si>
  <si>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30.06.2024.</t>
  </si>
  <si>
    <t>u razdoblju 01.01.2024 do 30.06.2024</t>
  </si>
  <si>
    <t xml:space="preserve">"BILJEŠKE UZ FINANCIJSKE IZVJEŠTAJE - TFI
(koji se sastavljaju za tromjesečna razdoblja)
Naziv izdavatelja:   INSTITUT IGH, d.d.
OIB:  79766124714
Izvještajno razdoblje: 01.01.2024 –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Obveze temeljem pred-stečajne nagodbe na dan 31.12.2023. iznosile su 39 tis eur, a koje su u cijelosti namirene dana 15.02.2024. Revizija podmirenja obveza po pred-stečajnoj nagodbi odrađena je tijekom lipnja 2024., te je Društvo podnijelo Zahtjev Trgovačkom sudu u Zagrebu za ukidanje statusa pred-stečaja.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30.06.2024. godine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2,479 mln eur. Imovina s pravom korištenja provodi se sukladno MRSF-16.
Potraživanja I obveze za kamate na dane i primljene kredite unutar grupe su iskazane unutar pozicije potraživanja odnosno obveza unutar grupe i na dan 30.06.2024. nisu značajne.
Rezervacije po sudskim sporovima na dan 30.06.2024. iznose 769 tis eur doku su prethodnu godinu iznosile 904 tis eur.
Prihodi od prodaje usluga od povezanih strana na dan 30.06.2024. nisu značajni.
Troškovi zaposlenika u tekućem periodu su iznosili 5,3 mln eur, dok su u istom periodu protekle godine iznosili 5,2 mln eur.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Status: pred-stečaj koji je u procesu brisanja navedenog statusa, dokumentacija predana na Trgovački sud u Zagrebu.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1,5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PRIDRUŽENO DRUŠTVO	ADRESA:
ELPIDA d.o.o.	Ventilatorska 24, Lučko, Hrvatska	
INSTITUT ZA INFRASTRUKTURNE PROJEKTE	Bugarska, Sofija	
PRVI CRNOGORSKI AUTOPUT d.o.o.	Crna Gora, Podgorica	
IGH KOSOVA SHA	Bill Clinton Bulvari, Kosovo	
IGH ITALY SRL	Palmanova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100,00%
INCRO d.o.o.	Zagreb, REPUBLIKA HRVATSKA	100,00%
IGH BUSINESS ADVISORY SERVICES d.o.o.	Zagreb, REPUBLIKA HRVATSKA	100,00%
MARTERRA d.o.o.	Zagreb, REPUBLIKA HRVATSKA	100,00%
ETZ d.d.	Zagreb, REPUBLIKA HRVATSKA	86,00%
IGH Mostar d.o.o.	Mostar, BOSNA I HERCEGOVINA	100,00%
Društva DP AQUA d.o.o. i SLAVONIJA CENTAR d.o.o. 05.06.2024. stavljeni su u redovni postupak likvidacije obzirom su bili neaktivni.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INSTITUT IGH, d.d. sklopilo je predstečajnu nagodbu dana 05.12.2013. godine pred Trgovačkim sudom u Zagrebu, 72. Stpn-305/2013. Predmetna nagodba postala je pravomoćna dana 28.12.2013. godine. Značajan događaj nakon datum bilance je predaja dokumentacije na Trgovački sud u Zagrebu čime će status Društva 'u pred-stečaju' biti ukinut obzirom su namirene sve obveze koje su bile predmet gore navedene predstečajne nagodbe.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</si>
</sst>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4"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7" t="s">
        <v>0</v>
      </c>
      <c r="H4" s="184">
        <v>45473</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450</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451</v>
      </c>
      <c r="D15" s="168"/>
      <c r="E15" s="172"/>
      <c r="F15" s="163"/>
      <c r="G15" s="114" t="s">
        <v>334</v>
      </c>
      <c r="H15" s="148" t="s">
        <v>454</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335</v>
      </c>
      <c r="C17" s="167" t="s">
        <v>452</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455</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456</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457</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458</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459</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338</v>
      </c>
      <c r="D31" s="160" t="s">
        <v>336</v>
      </c>
      <c r="E31" s="146"/>
      <c r="F31" s="146"/>
      <c r="G31" s="146"/>
      <c r="H31" s="111"/>
      <c r="I31" s="122" t="s">
        <v>337</v>
      </c>
      <c r="J31" s="123" t="s">
        <v>338</v>
      </c>
    </row>
    <row r="32" spans="1:10" x14ac:dyDescent="0.25">
      <c r="A32" s="161"/>
      <c r="B32" s="162"/>
      <c r="C32" s="124"/>
      <c r="D32" s="97"/>
      <c r="E32" s="163"/>
      <c r="F32" s="163"/>
      <c r="G32" s="163"/>
      <c r="H32" s="163"/>
      <c r="I32" s="120"/>
      <c r="J32" s="121"/>
    </row>
    <row r="33" spans="1:10" x14ac:dyDescent="0.25">
      <c r="A33" s="161" t="s">
        <v>326</v>
      </c>
      <c r="B33" s="162"/>
      <c r="C33" s="40" t="s">
        <v>340</v>
      </c>
      <c r="D33" s="160" t="s">
        <v>339</v>
      </c>
      <c r="E33" s="146"/>
      <c r="F33" s="146"/>
      <c r="G33" s="146"/>
      <c r="H33" s="117"/>
      <c r="I33" s="122" t="s">
        <v>340</v>
      </c>
      <c r="J33" s="123" t="s">
        <v>341</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342</v>
      </c>
    </row>
    <row r="49" spans="1:10" x14ac:dyDescent="0.25">
      <c r="A49" s="126"/>
      <c r="B49" s="118"/>
      <c r="C49" s="118"/>
      <c r="D49" s="111"/>
      <c r="E49" s="138"/>
      <c r="F49" s="138"/>
      <c r="G49" s="152"/>
      <c r="H49" s="152"/>
      <c r="I49" s="111"/>
      <c r="J49" s="127" t="s">
        <v>343</v>
      </c>
    </row>
    <row r="50" spans="1:10" ht="14.4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3"/>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6" zoomScale="110" zoomScaleNormal="100" zoomScaleSheetLayoutView="110" workbookViewId="0">
      <selection activeCell="H127" sqref="H12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10236217.699999999</v>
      </c>
      <c r="I9" s="82">
        <f>I10+I17+I27+I38+I43</f>
        <v>9162295</v>
      </c>
    </row>
    <row r="10" spans="1:9" ht="12.75" customHeight="1" x14ac:dyDescent="0.2">
      <c r="A10" s="194" t="s">
        <v>5</v>
      </c>
      <c r="B10" s="194"/>
      <c r="C10" s="194"/>
      <c r="D10" s="194"/>
      <c r="E10" s="194"/>
      <c r="F10" s="194"/>
      <c r="G10" s="12">
        <v>3</v>
      </c>
      <c r="H10" s="82">
        <f>H11+H12+H13+H14+H15+H16</f>
        <v>20291.07</v>
      </c>
      <c r="I10" s="82">
        <f>I11+I12+I13+I14+I15+I16</f>
        <v>9556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11512.24</v>
      </c>
      <c r="I12" s="18">
        <v>0</v>
      </c>
    </row>
    <row r="13" spans="1:9" ht="12.75" customHeight="1" x14ac:dyDescent="0.2">
      <c r="A13" s="190" t="s">
        <v>8</v>
      </c>
      <c r="B13" s="190"/>
      <c r="C13" s="190"/>
      <c r="D13" s="190"/>
      <c r="E13" s="190"/>
      <c r="F13" s="190"/>
      <c r="G13" s="11">
        <v>6</v>
      </c>
      <c r="H13" s="18">
        <v>4280.3100000000004</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9556</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8049922.6699999999</v>
      </c>
      <c r="I17" s="82">
        <f>I18+I19+I20+I21+I22+I23+I24+I25+I26</f>
        <v>6839063</v>
      </c>
    </row>
    <row r="18" spans="1:9" ht="12.75" customHeight="1" x14ac:dyDescent="0.2">
      <c r="A18" s="190" t="s">
        <v>13</v>
      </c>
      <c r="B18" s="190"/>
      <c r="C18" s="190"/>
      <c r="D18" s="190"/>
      <c r="E18" s="190"/>
      <c r="F18" s="190"/>
      <c r="G18" s="11">
        <v>11</v>
      </c>
      <c r="H18" s="18">
        <v>1255361.46</v>
      </c>
      <c r="I18" s="18">
        <v>793256</v>
      </c>
    </row>
    <row r="19" spans="1:9" ht="12.75" customHeight="1" x14ac:dyDescent="0.2">
      <c r="A19" s="190" t="s">
        <v>14</v>
      </c>
      <c r="B19" s="190"/>
      <c r="C19" s="190"/>
      <c r="D19" s="190"/>
      <c r="E19" s="190"/>
      <c r="F19" s="190"/>
      <c r="G19" s="11">
        <v>12</v>
      </c>
      <c r="H19" s="18">
        <v>1316696</v>
      </c>
      <c r="I19" s="18">
        <v>1098736</v>
      </c>
    </row>
    <row r="20" spans="1:9" ht="12.75" customHeight="1" x14ac:dyDescent="0.2">
      <c r="A20" s="190" t="s">
        <v>15</v>
      </c>
      <c r="B20" s="190"/>
      <c r="C20" s="190"/>
      <c r="D20" s="190"/>
      <c r="E20" s="190"/>
      <c r="F20" s="190"/>
      <c r="G20" s="11">
        <v>13</v>
      </c>
      <c r="H20" s="18">
        <v>4547206.58</v>
      </c>
      <c r="I20" s="18">
        <v>4038349</v>
      </c>
    </row>
    <row r="21" spans="1:9" ht="12.75" customHeight="1" x14ac:dyDescent="0.2">
      <c r="A21" s="190" t="s">
        <v>16</v>
      </c>
      <c r="B21" s="190"/>
      <c r="C21" s="190"/>
      <c r="D21" s="190"/>
      <c r="E21" s="190"/>
      <c r="F21" s="190"/>
      <c r="G21" s="11">
        <v>14</v>
      </c>
      <c r="H21" s="18">
        <v>775332.51</v>
      </c>
      <c r="I21" s="18">
        <v>720115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42423.75</v>
      </c>
      <c r="I23" s="18">
        <v>43058</v>
      </c>
    </row>
    <row r="24" spans="1:9" ht="12.75" customHeight="1" x14ac:dyDescent="0.2">
      <c r="A24" s="190" t="s">
        <v>19</v>
      </c>
      <c r="B24" s="190"/>
      <c r="C24" s="190"/>
      <c r="D24" s="190"/>
      <c r="E24" s="190"/>
      <c r="F24" s="190"/>
      <c r="G24" s="11">
        <v>17</v>
      </c>
      <c r="H24" s="18">
        <v>39630.86</v>
      </c>
      <c r="I24" s="18">
        <v>72277</v>
      </c>
    </row>
    <row r="25" spans="1:9" ht="12.75" customHeight="1" x14ac:dyDescent="0.2">
      <c r="A25" s="190" t="s">
        <v>20</v>
      </c>
      <c r="B25" s="190"/>
      <c r="C25" s="190"/>
      <c r="D25" s="190"/>
      <c r="E25" s="190"/>
      <c r="F25" s="190"/>
      <c r="G25" s="11">
        <v>18</v>
      </c>
      <c r="H25" s="18">
        <v>40423.51</v>
      </c>
      <c r="I25" s="18">
        <v>40424</v>
      </c>
    </row>
    <row r="26" spans="1:9" ht="12.75" customHeight="1" x14ac:dyDescent="0.2">
      <c r="A26" s="190" t="s">
        <v>21</v>
      </c>
      <c r="B26" s="190"/>
      <c r="C26" s="190"/>
      <c r="D26" s="190"/>
      <c r="E26" s="190"/>
      <c r="F26" s="190"/>
      <c r="G26" s="11">
        <v>19</v>
      </c>
      <c r="H26" s="18">
        <v>32848</v>
      </c>
      <c r="I26" s="18">
        <v>32848</v>
      </c>
    </row>
    <row r="27" spans="1:9" ht="12.75" customHeight="1" x14ac:dyDescent="0.2">
      <c r="A27" s="194" t="s">
        <v>22</v>
      </c>
      <c r="B27" s="194"/>
      <c r="C27" s="194"/>
      <c r="D27" s="194"/>
      <c r="E27" s="194"/>
      <c r="F27" s="194"/>
      <c r="G27" s="12">
        <v>20</v>
      </c>
      <c r="H27" s="82">
        <f>SUM(H28:H37)</f>
        <v>2002788.7600000002</v>
      </c>
      <c r="I27" s="82">
        <f>SUM(I28:I37)</f>
        <v>2150461</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f>1990842.12-5308.9</f>
        <v>1985533.2200000002</v>
      </c>
      <c r="I31" s="18">
        <v>1985533</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164928</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163215.20000000001</v>
      </c>
      <c r="I38" s="82">
        <f>I39+I40+I41+I42</f>
        <v>163215</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f>115507.13+47708.07</f>
        <v>163215.20000000001</v>
      </c>
      <c r="I42" s="18">
        <v>163215</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9312574.7300000004</v>
      </c>
      <c r="I44" s="82">
        <f>I45+I53+I60+I70</f>
        <v>10530459</v>
      </c>
    </row>
    <row r="45" spans="1:9" ht="12.75" customHeight="1" x14ac:dyDescent="0.2">
      <c r="A45" s="194" t="s">
        <v>39</v>
      </c>
      <c r="B45" s="194"/>
      <c r="C45" s="194"/>
      <c r="D45" s="194"/>
      <c r="E45" s="194"/>
      <c r="F45" s="194"/>
      <c r="G45" s="12">
        <v>38</v>
      </c>
      <c r="H45" s="82">
        <f>SUM(H46:H52)</f>
        <v>1707902.93</v>
      </c>
      <c r="I45" s="82">
        <f>SUM(I46:I52)</f>
        <v>1707903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75408.039999999994</v>
      </c>
      <c r="I47" s="18">
        <v>75408</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1632495</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3266296.2600000002</v>
      </c>
      <c r="I53" s="82">
        <f>SUM(I54:I59)</f>
        <v>4551961</v>
      </c>
    </row>
    <row r="54" spans="1:9" ht="12.75" customHeight="1" x14ac:dyDescent="0.2">
      <c r="A54" s="190" t="s">
        <v>48</v>
      </c>
      <c r="B54" s="190"/>
      <c r="C54" s="190"/>
      <c r="D54" s="190"/>
      <c r="E54" s="190"/>
      <c r="F54" s="190"/>
      <c r="G54" s="11">
        <v>47</v>
      </c>
      <c r="H54" s="18">
        <v>0</v>
      </c>
      <c r="I54" s="18"/>
    </row>
    <row r="55" spans="1:9" ht="12.75" customHeight="1" x14ac:dyDescent="0.2">
      <c r="A55" s="190" t="s">
        <v>49</v>
      </c>
      <c r="B55" s="190"/>
      <c r="C55" s="190"/>
      <c r="D55" s="190"/>
      <c r="E55" s="190"/>
      <c r="F55" s="190"/>
      <c r="G55" s="11">
        <v>48</v>
      </c>
      <c r="H55" s="18">
        <v>6145.16</v>
      </c>
      <c r="I55" s="18">
        <v>6145</v>
      </c>
    </row>
    <row r="56" spans="1:9" ht="12.75" customHeight="1" x14ac:dyDescent="0.2">
      <c r="A56" s="190" t="s">
        <v>50</v>
      </c>
      <c r="B56" s="190"/>
      <c r="C56" s="190"/>
      <c r="D56" s="190"/>
      <c r="E56" s="190"/>
      <c r="F56" s="190"/>
      <c r="G56" s="11">
        <v>49</v>
      </c>
      <c r="H56" s="18">
        <v>2070478.68</v>
      </c>
      <c r="I56" s="18">
        <f>2995566-6274</f>
        <v>2989292</v>
      </c>
    </row>
    <row r="57" spans="1:9" ht="12.75" customHeight="1" x14ac:dyDescent="0.2">
      <c r="A57" s="190" t="s">
        <v>51</v>
      </c>
      <c r="B57" s="190"/>
      <c r="C57" s="190"/>
      <c r="D57" s="190"/>
      <c r="E57" s="190"/>
      <c r="F57" s="190"/>
      <c r="G57" s="11">
        <v>50</v>
      </c>
      <c r="H57" s="18">
        <v>178419.83</v>
      </c>
      <c r="I57" s="18">
        <v>160996</v>
      </c>
    </row>
    <row r="58" spans="1:9" ht="12.75" customHeight="1" x14ac:dyDescent="0.2">
      <c r="A58" s="190" t="s">
        <v>52</v>
      </c>
      <c r="B58" s="190"/>
      <c r="C58" s="190"/>
      <c r="D58" s="190"/>
      <c r="E58" s="190"/>
      <c r="F58" s="190"/>
      <c r="G58" s="11">
        <v>51</v>
      </c>
      <c r="H58" s="18">
        <v>127746.24000000001</v>
      </c>
      <c r="I58" s="18">
        <v>256551</v>
      </c>
    </row>
    <row r="59" spans="1:9" ht="12.75" customHeight="1" x14ac:dyDescent="0.2">
      <c r="A59" s="190" t="s">
        <v>53</v>
      </c>
      <c r="B59" s="190"/>
      <c r="C59" s="190"/>
      <c r="D59" s="190"/>
      <c r="E59" s="190"/>
      <c r="F59" s="190"/>
      <c r="G59" s="11">
        <v>52</v>
      </c>
      <c r="H59" s="18">
        <v>883506.35</v>
      </c>
      <c r="I59" s="18">
        <v>1138977</v>
      </c>
    </row>
    <row r="60" spans="1:9" ht="12.75" customHeight="1" x14ac:dyDescent="0.2">
      <c r="A60" s="194" t="s">
        <v>54</v>
      </c>
      <c r="B60" s="194"/>
      <c r="C60" s="194"/>
      <c r="D60" s="194"/>
      <c r="E60" s="194"/>
      <c r="F60" s="194"/>
      <c r="G60" s="12">
        <v>53</v>
      </c>
      <c r="H60" s="82">
        <f>SUM(H61:H69)</f>
        <v>3904858.27</v>
      </c>
      <c r="I60" s="82">
        <f>SUM(I61:I69)</f>
        <v>4210701</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3539</v>
      </c>
    </row>
    <row r="68" spans="1:9" ht="12.75" customHeight="1" x14ac:dyDescent="0.2">
      <c r="A68" s="190" t="s">
        <v>30</v>
      </c>
      <c r="B68" s="190"/>
      <c r="C68" s="190"/>
      <c r="D68" s="190"/>
      <c r="E68" s="190"/>
      <c r="F68" s="190"/>
      <c r="G68" s="11">
        <v>61</v>
      </c>
      <c r="H68" s="18">
        <f>3883597.64-3625.9</f>
        <v>3879971.74</v>
      </c>
      <c r="I68" s="18">
        <f>4183882+1932</f>
        <v>4185814</v>
      </c>
    </row>
    <row r="69" spans="1:9" ht="12.75" customHeight="1" x14ac:dyDescent="0.2">
      <c r="A69" s="190" t="s">
        <v>56</v>
      </c>
      <c r="B69" s="190"/>
      <c r="C69" s="190"/>
      <c r="D69" s="190"/>
      <c r="E69" s="190"/>
      <c r="F69" s="190"/>
      <c r="G69" s="11">
        <v>62</v>
      </c>
      <c r="H69" s="18">
        <v>21347.61</v>
      </c>
      <c r="I69" s="18">
        <v>21348</v>
      </c>
    </row>
    <row r="70" spans="1:9" ht="12.75" customHeight="1" x14ac:dyDescent="0.2">
      <c r="A70" s="190" t="s">
        <v>57</v>
      </c>
      <c r="B70" s="190"/>
      <c r="C70" s="190"/>
      <c r="D70" s="190"/>
      <c r="E70" s="190"/>
      <c r="F70" s="190"/>
      <c r="G70" s="11">
        <v>63</v>
      </c>
      <c r="H70" s="18">
        <v>433517.27</v>
      </c>
      <c r="I70" s="18">
        <v>59894</v>
      </c>
    </row>
    <row r="71" spans="1:9" ht="12.75" customHeight="1" x14ac:dyDescent="0.2">
      <c r="A71" s="191" t="s">
        <v>58</v>
      </c>
      <c r="B71" s="191"/>
      <c r="C71" s="191"/>
      <c r="D71" s="191"/>
      <c r="E71" s="191"/>
      <c r="F71" s="191"/>
      <c r="G71" s="11">
        <v>64</v>
      </c>
      <c r="H71" s="18">
        <v>1138068</v>
      </c>
      <c r="I71" s="18">
        <f>1881015-2794</f>
        <v>1878221</v>
      </c>
    </row>
    <row r="72" spans="1:9" ht="12.75" customHeight="1" x14ac:dyDescent="0.2">
      <c r="A72" s="192" t="s">
        <v>304</v>
      </c>
      <c r="B72" s="192"/>
      <c r="C72" s="192"/>
      <c r="D72" s="192"/>
      <c r="E72" s="192"/>
      <c r="F72" s="192"/>
      <c r="G72" s="12">
        <v>65</v>
      </c>
      <c r="H72" s="82">
        <f>H8+H9+H44+H71</f>
        <v>20686860.43</v>
      </c>
      <c r="I72" s="82">
        <f>I8+I9+I44+I71</f>
        <v>21570975</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3877640.7800000007</v>
      </c>
      <c r="I75" s="83">
        <f>I76+I77+I78+I84+I85+I91+I94+I97</f>
        <v>4383690.2100000009</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4" t="s">
        <v>63</v>
      </c>
      <c r="B78" s="194"/>
      <c r="C78" s="194"/>
      <c r="D78" s="194"/>
      <c r="E78" s="194"/>
      <c r="F78" s="194"/>
      <c r="G78" s="12">
        <v>70</v>
      </c>
      <c r="H78" s="83">
        <f>SUM(H79:H83)</f>
        <v>-291605.83999999997</v>
      </c>
      <c r="I78" s="83">
        <f>SUM(I79:I83)</f>
        <v>-291605.83999999997</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-483564</v>
      </c>
      <c r="I81" s="18">
        <v>-483564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2507022</v>
      </c>
      <c r="I84" s="43">
        <v>2354765.75</v>
      </c>
    </row>
    <row r="85" spans="1:9" ht="12.75" customHeight="1" x14ac:dyDescent="0.2">
      <c r="A85" s="194" t="s">
        <v>446</v>
      </c>
      <c r="B85" s="194"/>
      <c r="C85" s="194"/>
      <c r="D85" s="194"/>
      <c r="E85" s="194"/>
      <c r="F85" s="194"/>
      <c r="G85" s="12">
        <v>77</v>
      </c>
      <c r="H85" s="82">
        <f>H86+H87+H88+H89+H90</f>
        <v>98541.41</v>
      </c>
      <c r="I85" s="82">
        <f>I86+I87+I88+I89+I90</f>
        <v>98541.41</v>
      </c>
    </row>
    <row r="86" spans="1:9" ht="25.5" customHeight="1" x14ac:dyDescent="0.2">
      <c r="A86" s="190" t="s">
        <v>447</v>
      </c>
      <c r="B86" s="190"/>
      <c r="C86" s="190"/>
      <c r="D86" s="190"/>
      <c r="E86" s="190"/>
      <c r="F86" s="190"/>
      <c r="G86" s="11">
        <v>78</v>
      </c>
      <c r="H86" s="18">
        <v>133710.93</v>
      </c>
      <c r="I86" s="18">
        <v>133710.93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-35169.519999999997</v>
      </c>
      <c r="I90" s="18">
        <v>-35169.519999999997</v>
      </c>
    </row>
    <row r="91" spans="1:9" ht="12.75" customHeight="1" x14ac:dyDescent="0.2">
      <c r="A91" s="194" t="s">
        <v>352</v>
      </c>
      <c r="B91" s="194"/>
      <c r="C91" s="194"/>
      <c r="D91" s="194"/>
      <c r="E91" s="194"/>
      <c r="F91" s="194"/>
      <c r="G91" s="12">
        <v>83</v>
      </c>
      <c r="H91" s="82">
        <f>H92-H93</f>
        <v>-18265428</v>
      </c>
      <c r="I91" s="82">
        <f>I92-I93</f>
        <v>-13198017</v>
      </c>
    </row>
    <row r="92" spans="1:9" ht="12.75" customHeight="1" x14ac:dyDescent="0.2">
      <c r="A92" s="190" t="s">
        <v>72</v>
      </c>
      <c r="B92" s="190"/>
      <c r="C92" s="190"/>
      <c r="D92" s="190"/>
      <c r="E92" s="190"/>
      <c r="F92" s="190"/>
      <c r="G92" s="11">
        <v>84</v>
      </c>
      <c r="H92" s="18"/>
      <c r="I92" s="18"/>
    </row>
    <row r="93" spans="1:9" ht="12.75" customHeight="1" x14ac:dyDescent="0.2">
      <c r="A93" s="190" t="s">
        <v>73</v>
      </c>
      <c r="B93" s="190"/>
      <c r="C93" s="190"/>
      <c r="D93" s="190"/>
      <c r="E93" s="190"/>
      <c r="F93" s="190"/>
      <c r="G93" s="11">
        <v>85</v>
      </c>
      <c r="H93" s="18">
        <v>18265428</v>
      </c>
      <c r="I93" s="18">
        <v>13198017</v>
      </c>
    </row>
    <row r="94" spans="1:9" ht="12.75" customHeight="1" x14ac:dyDescent="0.2">
      <c r="A94" s="194" t="s">
        <v>353</v>
      </c>
      <c r="B94" s="194"/>
      <c r="C94" s="194"/>
      <c r="D94" s="194"/>
      <c r="E94" s="194"/>
      <c r="F94" s="194"/>
      <c r="G94" s="12">
        <v>86</v>
      </c>
      <c r="H94" s="82">
        <f>H95-H96</f>
        <v>4985294</v>
      </c>
      <c r="I94" s="82">
        <f>I95-I96</f>
        <v>576189</v>
      </c>
    </row>
    <row r="95" spans="1:9" ht="12.75" customHeight="1" x14ac:dyDescent="0.2">
      <c r="A95" s="190" t="s">
        <v>74</v>
      </c>
      <c r="B95" s="190"/>
      <c r="C95" s="190"/>
      <c r="D95" s="190"/>
      <c r="E95" s="190"/>
      <c r="F95" s="190"/>
      <c r="G95" s="11">
        <v>87</v>
      </c>
      <c r="H95" s="18">
        <v>4985294</v>
      </c>
      <c r="I95" s="18">
        <f>RDG!J66</f>
        <v>576189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63082.32</v>
      </c>
      <c r="I97" s="18">
        <v>63082</v>
      </c>
    </row>
    <row r="98" spans="1:9" ht="12.75" customHeight="1" x14ac:dyDescent="0.2">
      <c r="A98" s="192" t="s">
        <v>355</v>
      </c>
      <c r="B98" s="192"/>
      <c r="C98" s="192"/>
      <c r="D98" s="192"/>
      <c r="E98" s="192"/>
      <c r="F98" s="192"/>
      <c r="G98" s="12">
        <v>90</v>
      </c>
      <c r="H98" s="82">
        <f>SUM(H99:H104)</f>
        <v>1324489.47</v>
      </c>
      <c r="I98" s="82">
        <f>SUM(I99:I104)</f>
        <v>1189776</v>
      </c>
    </row>
    <row r="99" spans="1:9" ht="12.75" customHeight="1" x14ac:dyDescent="0.2">
      <c r="A99" s="190" t="s">
        <v>77</v>
      </c>
      <c r="B99" s="190"/>
      <c r="C99" s="190"/>
      <c r="D99" s="190"/>
      <c r="E99" s="190"/>
      <c r="F99" s="190"/>
      <c r="G99" s="11">
        <v>91</v>
      </c>
      <c r="H99" s="18">
        <v>85243.88</v>
      </c>
      <c r="I99" s="18">
        <v>85244</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904252.99</v>
      </c>
      <c r="I101" s="18">
        <v>769539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334992.59999999998</v>
      </c>
      <c r="I104" s="18">
        <v>334993</v>
      </c>
    </row>
    <row r="105" spans="1:9" ht="12.75" customHeight="1" x14ac:dyDescent="0.2">
      <c r="A105" s="192" t="s">
        <v>356</v>
      </c>
      <c r="B105" s="192"/>
      <c r="C105" s="192"/>
      <c r="D105" s="192"/>
      <c r="E105" s="192"/>
      <c r="F105" s="192"/>
      <c r="G105" s="12">
        <v>97</v>
      </c>
      <c r="H105" s="82">
        <f>SUM(H106:H116)</f>
        <v>2377555.2200000002</v>
      </c>
      <c r="I105" s="82">
        <f>SUM(I106:I116)</f>
        <v>1924820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1911320.49</v>
      </c>
      <c r="I110" s="18">
        <v>1447649</v>
      </c>
    </row>
    <row r="111" spans="1:9" ht="12.75" customHeight="1" x14ac:dyDescent="0.2">
      <c r="A111" s="190" t="s">
        <v>88</v>
      </c>
      <c r="B111" s="190"/>
      <c r="C111" s="190"/>
      <c r="D111" s="190"/>
      <c r="E111" s="190"/>
      <c r="F111" s="190"/>
      <c r="G111" s="11">
        <v>103</v>
      </c>
      <c r="H111" s="18">
        <v>200</v>
      </c>
      <c r="I111" s="18">
        <v>200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26269</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439765.64</v>
      </c>
      <c r="I116" s="18">
        <v>450702</v>
      </c>
    </row>
    <row r="117" spans="1:9" ht="12.75" customHeight="1" x14ac:dyDescent="0.2">
      <c r="A117" s="192" t="s">
        <v>357</v>
      </c>
      <c r="B117" s="192"/>
      <c r="C117" s="192"/>
      <c r="D117" s="192"/>
      <c r="E117" s="192"/>
      <c r="F117" s="192"/>
      <c r="G117" s="12">
        <v>109</v>
      </c>
      <c r="H117" s="82">
        <f>SUM(H118:H131)</f>
        <v>12688956.029999997</v>
      </c>
      <c r="I117" s="82">
        <f>SUM(I118:I131)</f>
        <v>13632575.859999999</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412055.12</v>
      </c>
      <c r="I120" s="18">
        <v>412055</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f>3261809.83+2213861.56</f>
        <v>5475671.3900000006</v>
      </c>
      <c r="I122" s="18">
        <f>5739373-412055</f>
        <v>5327318</v>
      </c>
    </row>
    <row r="123" spans="1:9" ht="12.75" customHeight="1" x14ac:dyDescent="0.2">
      <c r="A123" s="190" t="s">
        <v>88</v>
      </c>
      <c r="B123" s="190"/>
      <c r="C123" s="190"/>
      <c r="D123" s="190"/>
      <c r="E123" s="190"/>
      <c r="F123" s="190"/>
      <c r="G123" s="11">
        <v>115</v>
      </c>
      <c r="H123" s="18">
        <v>9241.61</v>
      </c>
      <c r="I123" s="18">
        <v>16615</v>
      </c>
    </row>
    <row r="124" spans="1:9" ht="12.75" customHeight="1" x14ac:dyDescent="0.2">
      <c r="A124" s="190" t="s">
        <v>89</v>
      </c>
      <c r="B124" s="190"/>
      <c r="C124" s="190"/>
      <c r="D124" s="190"/>
      <c r="E124" s="190"/>
      <c r="F124" s="190"/>
      <c r="G124" s="11">
        <v>116</v>
      </c>
      <c r="H124" s="18">
        <v>787666.27</v>
      </c>
      <c r="I124" s="18">
        <v>665438</v>
      </c>
    </row>
    <row r="125" spans="1:9" ht="12.75" customHeight="1" x14ac:dyDescent="0.2">
      <c r="A125" s="190" t="s">
        <v>90</v>
      </c>
      <c r="B125" s="190"/>
      <c r="C125" s="190"/>
      <c r="D125" s="190"/>
      <c r="E125" s="190"/>
      <c r="F125" s="190"/>
      <c r="G125" s="11">
        <v>117</v>
      </c>
      <c r="H125" s="18">
        <f>2902667.23+245.63</f>
        <v>2902912.86</v>
      </c>
      <c r="I125" s="18">
        <v>3904876</v>
      </c>
    </row>
    <row r="126" spans="1:9" x14ac:dyDescent="0.2">
      <c r="A126" s="190" t="s">
        <v>91</v>
      </c>
      <c r="B126" s="190"/>
      <c r="C126" s="190"/>
      <c r="D126" s="190"/>
      <c r="E126" s="190"/>
      <c r="F126" s="190"/>
      <c r="G126" s="11">
        <v>118</v>
      </c>
      <c r="H126" s="18">
        <v>91003.86</v>
      </c>
      <c r="I126" s="18">
        <v>-0.13999999999941792</v>
      </c>
    </row>
    <row r="127" spans="1:9" x14ac:dyDescent="0.2">
      <c r="A127" s="190" t="s">
        <v>94</v>
      </c>
      <c r="B127" s="190"/>
      <c r="C127" s="190"/>
      <c r="D127" s="190"/>
      <c r="E127" s="190"/>
      <c r="F127" s="190"/>
      <c r="G127" s="11">
        <v>119</v>
      </c>
      <c r="H127" s="18">
        <v>845976.29</v>
      </c>
      <c r="I127" s="18">
        <v>811539</v>
      </c>
    </row>
    <row r="128" spans="1:9" x14ac:dyDescent="0.2">
      <c r="A128" s="190" t="s">
        <v>95</v>
      </c>
      <c r="B128" s="190"/>
      <c r="C128" s="190"/>
      <c r="D128" s="190"/>
      <c r="E128" s="190"/>
      <c r="F128" s="190"/>
      <c r="G128" s="11">
        <v>120</v>
      </c>
      <c r="H128" s="18">
        <v>1518805.92</v>
      </c>
      <c r="I128" s="18">
        <v>1905227</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645622.71</v>
      </c>
      <c r="I131" s="18">
        <v>589508</v>
      </c>
    </row>
    <row r="132" spans="1:9" ht="22.15" customHeight="1" x14ac:dyDescent="0.2">
      <c r="A132" s="191" t="s">
        <v>99</v>
      </c>
      <c r="B132" s="191"/>
      <c r="C132" s="191"/>
      <c r="D132" s="191"/>
      <c r="E132" s="191"/>
      <c r="F132" s="191"/>
      <c r="G132" s="11">
        <v>124</v>
      </c>
      <c r="H132" s="18">
        <v>418219</v>
      </c>
      <c r="I132" s="18">
        <f>438902+1211</f>
        <v>440113</v>
      </c>
    </row>
    <row r="133" spans="1:9" ht="12.75" customHeight="1" x14ac:dyDescent="0.2">
      <c r="A133" s="192" t="s">
        <v>358</v>
      </c>
      <c r="B133" s="192"/>
      <c r="C133" s="192"/>
      <c r="D133" s="192"/>
      <c r="E133" s="192"/>
      <c r="F133" s="192"/>
      <c r="G133" s="12">
        <v>125</v>
      </c>
      <c r="H133" s="82">
        <f>H75+H98+H105+H117+H132</f>
        <v>20686860.5</v>
      </c>
      <c r="I133" s="82">
        <f>I75+I98+I105+I117+I132</f>
        <v>21570975.07</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110" zoomScaleNormal="110" zoomScaleSheetLayoutView="110" workbookViewId="0">
      <selection activeCell="J65" sqref="J6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tr">
        <f>Bilanca!A4</f>
        <v>Obveznik: INSTITUT IGH d.d.</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14808945</v>
      </c>
      <c r="I8" s="48">
        <f>SUM(I9:I13)</f>
        <v>5618836</v>
      </c>
      <c r="J8" s="48">
        <f>SUM(J9:J13)</f>
        <v>10283843</v>
      </c>
      <c r="K8" s="48">
        <f>SUM(K9:K13)</f>
        <v>5290169</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8023778</v>
      </c>
      <c r="I10" s="49">
        <v>4253877</v>
      </c>
      <c r="J10" s="49">
        <f>9063821+3729</f>
        <v>9067550</v>
      </c>
      <c r="K10" s="49">
        <f>5286371+3798</f>
        <v>5290169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6785167</v>
      </c>
      <c r="I13" s="49">
        <v>1364959</v>
      </c>
      <c r="J13" s="49">
        <f>1220022-3729</f>
        <v>1216293</v>
      </c>
      <c r="K13" s="49">
        <v>0</v>
      </c>
    </row>
    <row r="14" spans="1:11" ht="12.75" customHeight="1" x14ac:dyDescent="0.2">
      <c r="A14" s="221" t="s">
        <v>360</v>
      </c>
      <c r="B14" s="221"/>
      <c r="C14" s="221"/>
      <c r="D14" s="221"/>
      <c r="E14" s="221"/>
      <c r="F14" s="221"/>
      <c r="G14" s="12">
        <v>7</v>
      </c>
      <c r="H14" s="48">
        <f>H15+H16+H20+H24+H25+H26+H29+H36</f>
        <v>10924852</v>
      </c>
      <c r="I14" s="48">
        <f>I15+I16+I20+I24+I25+I26+I29+I36</f>
        <v>6086962</v>
      </c>
      <c r="J14" s="48">
        <f>J15+J16+J20+J24+J25+J26+J29+J36</f>
        <v>9669437</v>
      </c>
      <c r="K14" s="48">
        <f>K15+K16+K20+K24+K25+K26+K29+K36</f>
        <v>5118602</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2728240</v>
      </c>
      <c r="I16" s="48">
        <f>SUM(I17:I19)</f>
        <v>1581899</v>
      </c>
      <c r="J16" s="48">
        <f>SUM(J17:J19)</f>
        <v>2453404</v>
      </c>
      <c r="K16" s="48">
        <f>SUM(K17:K19)</f>
        <v>1493742</v>
      </c>
    </row>
    <row r="17" spans="1:11" ht="12.75" customHeight="1" x14ac:dyDescent="0.2">
      <c r="A17" s="224" t="s">
        <v>120</v>
      </c>
      <c r="B17" s="224"/>
      <c r="C17" s="224"/>
      <c r="D17" s="224"/>
      <c r="E17" s="224"/>
      <c r="F17" s="224"/>
      <c r="G17" s="11">
        <v>10</v>
      </c>
      <c r="H17" s="49">
        <v>393237</v>
      </c>
      <c r="I17" s="49">
        <v>147715</v>
      </c>
      <c r="J17" s="49">
        <v>334458</v>
      </c>
      <c r="K17" s="49">
        <v>173105</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2335003</v>
      </c>
      <c r="I19" s="49">
        <v>1434184</v>
      </c>
      <c r="J19" s="49">
        <v>2118946</v>
      </c>
      <c r="K19" s="49">
        <v>1320637</v>
      </c>
    </row>
    <row r="20" spans="1:11" ht="12.75" customHeight="1" x14ac:dyDescent="0.2">
      <c r="A20" s="194" t="s">
        <v>441</v>
      </c>
      <c r="B20" s="194"/>
      <c r="C20" s="194"/>
      <c r="D20" s="194"/>
      <c r="E20" s="194"/>
      <c r="F20" s="194"/>
      <c r="G20" s="12">
        <v>13</v>
      </c>
      <c r="H20" s="48">
        <f>SUM(H21:H23)</f>
        <v>5365131</v>
      </c>
      <c r="I20" s="48">
        <f>SUM(I21:I23)</f>
        <v>2560283</v>
      </c>
      <c r="J20" s="48">
        <f>SUM(J21:J23)</f>
        <v>5440339</v>
      </c>
      <c r="K20" s="48">
        <f>SUM(K21:K23)</f>
        <v>2847115</v>
      </c>
    </row>
    <row r="21" spans="1:11" ht="12.75" customHeight="1" x14ac:dyDescent="0.2">
      <c r="A21" s="224" t="s">
        <v>105</v>
      </c>
      <c r="B21" s="224"/>
      <c r="C21" s="224"/>
      <c r="D21" s="224"/>
      <c r="E21" s="224"/>
      <c r="F21" s="224"/>
      <c r="G21" s="11">
        <v>14</v>
      </c>
      <c r="H21" s="49">
        <f>3091116+240828</f>
        <v>3331944</v>
      </c>
      <c r="I21" s="49">
        <f>1403043+84395+113543</f>
        <v>1600981</v>
      </c>
      <c r="J21" s="49">
        <v>3442065</v>
      </c>
      <c r="K21" s="49">
        <v>1813372</v>
      </c>
    </row>
    <row r="22" spans="1:11" ht="12.75" customHeight="1" x14ac:dyDescent="0.2">
      <c r="A22" s="224" t="s">
        <v>106</v>
      </c>
      <c r="B22" s="224"/>
      <c r="C22" s="224"/>
      <c r="D22" s="224"/>
      <c r="E22" s="224"/>
      <c r="F22" s="224"/>
      <c r="G22" s="11">
        <v>15</v>
      </c>
      <c r="H22" s="49">
        <f>1594282-240828</f>
        <v>1353454</v>
      </c>
      <c r="I22" s="49">
        <f>723637-84395</f>
        <v>639242</v>
      </c>
      <c r="J22" s="49">
        <v>1327560</v>
      </c>
      <c r="K22" s="49">
        <v>690666</v>
      </c>
    </row>
    <row r="23" spans="1:11" ht="12.75" customHeight="1" x14ac:dyDescent="0.2">
      <c r="A23" s="224" t="s">
        <v>107</v>
      </c>
      <c r="B23" s="224"/>
      <c r="C23" s="224"/>
      <c r="D23" s="224"/>
      <c r="E23" s="224"/>
      <c r="F23" s="224"/>
      <c r="G23" s="11">
        <v>16</v>
      </c>
      <c r="H23" s="49">
        <v>679733</v>
      </c>
      <c r="I23" s="49">
        <f>433603-113543</f>
        <v>320060</v>
      </c>
      <c r="J23" s="49">
        <v>670714</v>
      </c>
      <c r="K23" s="49">
        <v>343077</v>
      </c>
    </row>
    <row r="24" spans="1:11" ht="12.75" customHeight="1" x14ac:dyDescent="0.2">
      <c r="A24" s="190" t="s">
        <v>108</v>
      </c>
      <c r="B24" s="190"/>
      <c r="C24" s="190"/>
      <c r="D24" s="190"/>
      <c r="E24" s="190"/>
      <c r="F24" s="190"/>
      <c r="G24" s="11">
        <v>17</v>
      </c>
      <c r="H24" s="49">
        <v>1093459</v>
      </c>
      <c r="I24" s="49">
        <v>561170</v>
      </c>
      <c r="J24" s="49">
        <v>1137416</v>
      </c>
      <c r="K24" s="49">
        <v>507202</v>
      </c>
    </row>
    <row r="25" spans="1:11" ht="12.75" customHeight="1" x14ac:dyDescent="0.2">
      <c r="A25" s="190" t="s">
        <v>109</v>
      </c>
      <c r="B25" s="190"/>
      <c r="C25" s="190"/>
      <c r="D25" s="190"/>
      <c r="E25" s="190"/>
      <c r="F25" s="190"/>
      <c r="G25" s="11">
        <v>18</v>
      </c>
      <c r="H25" s="49">
        <v>422406</v>
      </c>
      <c r="I25" s="49">
        <v>282089</v>
      </c>
      <c r="J25" s="49">
        <v>263132</v>
      </c>
      <c r="K25" s="49">
        <v>171142</v>
      </c>
    </row>
    <row r="26" spans="1:11" ht="12.75" customHeight="1" x14ac:dyDescent="0.2">
      <c r="A26" s="194" t="s">
        <v>442</v>
      </c>
      <c r="B26" s="194"/>
      <c r="C26" s="194"/>
      <c r="D26" s="194"/>
      <c r="E26" s="194"/>
      <c r="F26" s="194"/>
      <c r="G26" s="12">
        <v>19</v>
      </c>
      <c r="H26" s="48">
        <f>H27+H28</f>
        <v>962385</v>
      </c>
      <c r="I26" s="48">
        <f>I27+I28</f>
        <v>919276</v>
      </c>
      <c r="J26" s="48">
        <f>J27+J28</f>
        <v>175670</v>
      </c>
      <c r="K26" s="48">
        <f>K27+K28</f>
        <v>4476</v>
      </c>
    </row>
    <row r="27" spans="1:11" ht="12.75" customHeight="1" x14ac:dyDescent="0.2">
      <c r="A27" s="224" t="s">
        <v>123</v>
      </c>
      <c r="B27" s="224"/>
      <c r="C27" s="224"/>
      <c r="D27" s="224"/>
      <c r="E27" s="224"/>
      <c r="F27" s="224"/>
      <c r="G27" s="11">
        <v>20</v>
      </c>
      <c r="H27" s="49">
        <v>832582</v>
      </c>
      <c r="I27" s="49">
        <v>832582</v>
      </c>
      <c r="J27" s="49">
        <v>0</v>
      </c>
      <c r="K27" s="49">
        <v>0</v>
      </c>
    </row>
    <row r="28" spans="1:11" ht="12.75" customHeight="1" x14ac:dyDescent="0.2">
      <c r="A28" s="224" t="s">
        <v>124</v>
      </c>
      <c r="B28" s="224"/>
      <c r="C28" s="224"/>
      <c r="D28" s="224"/>
      <c r="E28" s="224"/>
      <c r="F28" s="224"/>
      <c r="G28" s="11">
        <v>21</v>
      </c>
      <c r="H28" s="49">
        <v>129803</v>
      </c>
      <c r="I28" s="49">
        <v>86694</v>
      </c>
      <c r="J28" s="49">
        <v>175670</v>
      </c>
      <c r="K28" s="49">
        <v>4476</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353231</v>
      </c>
      <c r="I36" s="49">
        <v>182245</v>
      </c>
      <c r="J36" s="49">
        <v>199476</v>
      </c>
      <c r="K36" s="49">
        <v>94925</v>
      </c>
    </row>
    <row r="37" spans="1:11" ht="12.75" customHeight="1" x14ac:dyDescent="0.2">
      <c r="A37" s="221" t="s">
        <v>361</v>
      </c>
      <c r="B37" s="221"/>
      <c r="C37" s="221"/>
      <c r="D37" s="221"/>
      <c r="E37" s="221"/>
      <c r="F37" s="221"/>
      <c r="G37" s="12">
        <v>30</v>
      </c>
      <c r="H37" s="48">
        <f>SUM(H38:H47)</f>
        <v>16822</v>
      </c>
      <c r="I37" s="48">
        <f>SUM(I38:I47)</f>
        <v>6450</v>
      </c>
      <c r="J37" s="48">
        <f>SUM(J38:J47)</f>
        <v>14949</v>
      </c>
      <c r="K37" s="48">
        <f>SUM(K38:K47)</f>
        <v>14292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372</v>
      </c>
      <c r="I44" s="49">
        <v>130</v>
      </c>
      <c r="J44" s="49">
        <v>299</v>
      </c>
      <c r="K44" s="49">
        <v>197</v>
      </c>
    </row>
    <row r="45" spans="1:11" ht="12.75" customHeight="1" x14ac:dyDescent="0.2">
      <c r="A45" s="190" t="s">
        <v>138</v>
      </c>
      <c r="B45" s="190"/>
      <c r="C45" s="190"/>
      <c r="D45" s="190"/>
      <c r="E45" s="190"/>
      <c r="F45" s="190"/>
      <c r="G45" s="11">
        <v>38</v>
      </c>
      <c r="H45" s="49">
        <v>3772</v>
      </c>
      <c r="I45" s="49">
        <v>828</v>
      </c>
      <c r="J45" s="49">
        <v>1014</v>
      </c>
      <c r="K45" s="49">
        <v>459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12678</v>
      </c>
      <c r="I47" s="49">
        <v>5492</v>
      </c>
      <c r="J47" s="49">
        <v>13636</v>
      </c>
      <c r="K47" s="49">
        <v>13636</v>
      </c>
    </row>
    <row r="48" spans="1:11" ht="12.75" customHeight="1" x14ac:dyDescent="0.2">
      <c r="A48" s="221" t="s">
        <v>362</v>
      </c>
      <c r="B48" s="221"/>
      <c r="C48" s="221"/>
      <c r="D48" s="221"/>
      <c r="E48" s="221"/>
      <c r="F48" s="221"/>
      <c r="G48" s="12">
        <v>41</v>
      </c>
      <c r="H48" s="48">
        <f>SUM(H49:H55)</f>
        <v>306735</v>
      </c>
      <c r="I48" s="48">
        <f>SUM(I49:I55)</f>
        <v>139513</v>
      </c>
      <c r="J48" s="48">
        <f>SUM(J49:J55)</f>
        <v>117830</v>
      </c>
      <c r="K48" s="48">
        <f>SUM(K49:K55)</f>
        <v>70049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282093</v>
      </c>
      <c r="I51" s="49">
        <v>127773</v>
      </c>
      <c r="J51" s="49">
        <v>93289</v>
      </c>
      <c r="K51" s="49">
        <v>55376</v>
      </c>
    </row>
    <row r="52" spans="1:11" ht="12.75" customHeight="1" x14ac:dyDescent="0.2">
      <c r="A52" s="214" t="s">
        <v>144</v>
      </c>
      <c r="B52" s="214"/>
      <c r="C52" s="214"/>
      <c r="D52" s="214"/>
      <c r="E52" s="214"/>
      <c r="F52" s="214"/>
      <c r="G52" s="11">
        <v>45</v>
      </c>
      <c r="H52" s="49">
        <v>23557</v>
      </c>
      <c r="I52" s="49">
        <v>11740</v>
      </c>
      <c r="J52" s="49">
        <v>17158</v>
      </c>
      <c r="K52" s="49">
        <f>15293-620</f>
        <v>14673</v>
      </c>
    </row>
    <row r="53" spans="1:11" ht="12.75" customHeight="1" x14ac:dyDescent="0.2">
      <c r="A53" s="214" t="s">
        <v>145</v>
      </c>
      <c r="B53" s="214"/>
      <c r="C53" s="214"/>
      <c r="D53" s="214"/>
      <c r="E53" s="214"/>
      <c r="F53" s="214"/>
      <c r="G53" s="11">
        <v>46</v>
      </c>
      <c r="H53" s="49">
        <v>28</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1057</v>
      </c>
      <c r="I55" s="49">
        <v>0</v>
      </c>
      <c r="J55" s="49">
        <v>7383</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14825767</v>
      </c>
      <c r="I60" s="48">
        <f t="shared" ref="I60:K60" si="0">I8+I37+I56+I57</f>
        <v>5625286</v>
      </c>
      <c r="J60" s="48">
        <f t="shared" si="0"/>
        <v>10298792</v>
      </c>
      <c r="K60" s="48">
        <f t="shared" si="0"/>
        <v>5304461</v>
      </c>
    </row>
    <row r="61" spans="1:11" ht="12.75" customHeight="1" x14ac:dyDescent="0.2">
      <c r="A61" s="221" t="s">
        <v>364</v>
      </c>
      <c r="B61" s="221"/>
      <c r="C61" s="221"/>
      <c r="D61" s="221"/>
      <c r="E61" s="221"/>
      <c r="F61" s="221"/>
      <c r="G61" s="12">
        <v>54</v>
      </c>
      <c r="H61" s="48">
        <f>H14+H48+H58+H59</f>
        <v>11231587</v>
      </c>
      <c r="I61" s="48">
        <f t="shared" ref="I61:K61" si="1">I14+I48+I58+I59</f>
        <v>6226475</v>
      </c>
      <c r="J61" s="48">
        <f t="shared" si="1"/>
        <v>9787267</v>
      </c>
      <c r="K61" s="48">
        <f t="shared" si="1"/>
        <v>5188651</v>
      </c>
    </row>
    <row r="62" spans="1:11" ht="12.75" customHeight="1" x14ac:dyDescent="0.2">
      <c r="A62" s="221" t="s">
        <v>365</v>
      </c>
      <c r="B62" s="221"/>
      <c r="C62" s="221"/>
      <c r="D62" s="221"/>
      <c r="E62" s="221"/>
      <c r="F62" s="221"/>
      <c r="G62" s="12">
        <v>55</v>
      </c>
      <c r="H62" s="48">
        <f>H60-H61</f>
        <v>3594180</v>
      </c>
      <c r="I62" s="48">
        <f t="shared" ref="I62:K62" si="2">I60-I61</f>
        <v>-601189</v>
      </c>
      <c r="J62" s="48">
        <f t="shared" si="2"/>
        <v>511525</v>
      </c>
      <c r="K62" s="48">
        <f t="shared" si="2"/>
        <v>115810</v>
      </c>
    </row>
    <row r="63" spans="1:11" ht="12.75" customHeight="1" x14ac:dyDescent="0.2">
      <c r="A63" s="222" t="s">
        <v>366</v>
      </c>
      <c r="B63" s="222"/>
      <c r="C63" s="222"/>
      <c r="D63" s="222"/>
      <c r="E63" s="222"/>
      <c r="F63" s="222"/>
      <c r="G63" s="12">
        <v>56</v>
      </c>
      <c r="H63" s="48">
        <f>+IF((H60-H61)&gt;0,(H60-H61),0)</f>
        <v>3594180</v>
      </c>
      <c r="I63" s="48">
        <f t="shared" ref="I63:K63" si="3">+IF((I60-I61)&gt;0,(I60-I61),0)</f>
        <v>0</v>
      </c>
      <c r="J63" s="48">
        <f t="shared" si="3"/>
        <v>511525</v>
      </c>
      <c r="K63" s="48">
        <f t="shared" si="3"/>
        <v>115810</v>
      </c>
    </row>
    <row r="64" spans="1:11" ht="12.75" customHeight="1" x14ac:dyDescent="0.2">
      <c r="A64" s="222" t="s">
        <v>367</v>
      </c>
      <c r="B64" s="222"/>
      <c r="C64" s="222"/>
      <c r="D64" s="222"/>
      <c r="E64" s="222"/>
      <c r="F64" s="222"/>
      <c r="G64" s="12">
        <v>57</v>
      </c>
      <c r="H64" s="48">
        <f>+IF((H60-H61)&lt;0,(H60-H61),0)</f>
        <v>0</v>
      </c>
      <c r="I64" s="48">
        <f t="shared" ref="I64:K64" si="4">+IF((I60-I61)&lt;0,(I60-I61),0)</f>
        <v>-601189</v>
      </c>
      <c r="J64" s="48">
        <f t="shared" si="4"/>
        <v>0</v>
      </c>
      <c r="K64" s="48">
        <f t="shared" si="4"/>
        <v>0</v>
      </c>
    </row>
    <row r="65" spans="1:11" ht="12.75" customHeight="1" x14ac:dyDescent="0.2">
      <c r="A65" s="223" t="s">
        <v>111</v>
      </c>
      <c r="B65" s="223"/>
      <c r="C65" s="223"/>
      <c r="D65" s="223"/>
      <c r="E65" s="223"/>
      <c r="F65" s="223"/>
      <c r="G65" s="11">
        <v>58</v>
      </c>
      <c r="H65" s="49">
        <v>0</v>
      </c>
      <c r="I65" s="49">
        <v>0</v>
      </c>
      <c r="J65" s="49">
        <v>-64664</v>
      </c>
      <c r="K65" s="49">
        <f>-64664+22334</f>
        <v>-42330</v>
      </c>
    </row>
    <row r="66" spans="1:11" ht="12.75" customHeight="1" x14ac:dyDescent="0.2">
      <c r="A66" s="221" t="s">
        <v>368</v>
      </c>
      <c r="B66" s="221"/>
      <c r="C66" s="221"/>
      <c r="D66" s="221"/>
      <c r="E66" s="221"/>
      <c r="F66" s="221"/>
      <c r="G66" s="12">
        <v>59</v>
      </c>
      <c r="H66" s="48">
        <f>H62-H65</f>
        <v>3594180</v>
      </c>
      <c r="I66" s="48">
        <f t="shared" ref="I66:K66" si="5">I62-I65</f>
        <v>-601189</v>
      </c>
      <c r="J66" s="48">
        <f t="shared" si="5"/>
        <v>576189</v>
      </c>
      <c r="K66" s="48">
        <f t="shared" si="5"/>
        <v>158140</v>
      </c>
    </row>
    <row r="67" spans="1:11" ht="12.75" customHeight="1" x14ac:dyDescent="0.2">
      <c r="A67" s="222" t="s">
        <v>369</v>
      </c>
      <c r="B67" s="222"/>
      <c r="C67" s="222"/>
      <c r="D67" s="222"/>
      <c r="E67" s="222"/>
      <c r="F67" s="222"/>
      <c r="G67" s="12">
        <v>60</v>
      </c>
      <c r="H67" s="48">
        <f>+IF((H62-H65)&gt;0,(H62-H65),0)</f>
        <v>3594180</v>
      </c>
      <c r="I67" s="48">
        <f t="shared" ref="I67:K67" si="6">+IF((I62-I65)&gt;0,(I62-I65),0)</f>
        <v>0</v>
      </c>
      <c r="J67" s="48">
        <f t="shared" si="6"/>
        <v>576189</v>
      </c>
      <c r="K67" s="48">
        <f t="shared" si="6"/>
        <v>158140</v>
      </c>
    </row>
    <row r="68" spans="1:11" ht="12.75" customHeight="1" x14ac:dyDescent="0.2">
      <c r="A68" s="222" t="s">
        <v>370</v>
      </c>
      <c r="B68" s="222"/>
      <c r="C68" s="222"/>
      <c r="D68" s="222"/>
      <c r="E68" s="222"/>
      <c r="F68" s="222"/>
      <c r="G68" s="12">
        <v>61</v>
      </c>
      <c r="H68" s="48">
        <f>+IF((H62-H65)&lt;0,(H62-H65),0)</f>
        <v>0</v>
      </c>
      <c r="I68" s="48">
        <f t="shared" ref="I68:K68" si="7">+IF((I62-I65)&lt;0,(I62-I65),0)</f>
        <v>-601189</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5" zoomScaleNormal="100" zoomScaleSheetLayoutView="100" workbookViewId="0">
      <selection activeCell="I48" sqref="I4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ht="12.75" customHeight="1" x14ac:dyDescent="0.2">
      <c r="A2" s="229" t="s">
        <v>462</v>
      </c>
      <c r="B2" s="230"/>
      <c r="C2" s="230"/>
      <c r="D2" s="230"/>
      <c r="E2" s="230"/>
      <c r="F2" s="230"/>
      <c r="G2" s="230"/>
      <c r="H2" s="230"/>
      <c r="I2" s="230"/>
    </row>
    <row r="3" spans="1:9" x14ac:dyDescent="0.2">
      <c r="A3" s="249" t="s">
        <v>448</v>
      </c>
      <c r="B3" s="250"/>
      <c r="C3" s="250"/>
      <c r="D3" s="250"/>
      <c r="E3" s="250"/>
      <c r="F3" s="250"/>
      <c r="G3" s="250"/>
      <c r="H3" s="250"/>
      <c r="I3" s="250"/>
    </row>
    <row r="4" spans="1:9" x14ac:dyDescent="0.2">
      <c r="A4" s="248" t="str">
        <f>Bilanca!A4</f>
        <v>Obveznik: INSTITUT IGH d.d.</v>
      </c>
      <c r="B4" s="203"/>
      <c r="C4" s="203"/>
      <c r="D4" s="203"/>
      <c r="E4" s="203"/>
      <c r="F4" s="203"/>
      <c r="G4" s="203"/>
      <c r="H4" s="203"/>
      <c r="I4" s="204"/>
    </row>
    <row r="5" spans="1:9" ht="23.25" x14ac:dyDescent="0.2">
      <c r="A5" s="251" t="s">
        <v>2</v>
      </c>
      <c r="B5" s="208"/>
      <c r="C5" s="208"/>
      <c r="D5" s="208"/>
      <c r="E5" s="208"/>
      <c r="F5" s="208"/>
      <c r="G5" s="60" t="s">
        <v>103</v>
      </c>
      <c r="H5" s="61" t="s">
        <v>301</v>
      </c>
      <c r="I5" s="61" t="s">
        <v>279</v>
      </c>
    </row>
    <row r="6" spans="1:9" x14ac:dyDescent="0.2">
      <c r="A6" s="252">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3850451</v>
      </c>
      <c r="I8" s="64">
        <f>RDG!J63</f>
        <v>511525</v>
      </c>
    </row>
    <row r="9" spans="1:9" ht="12.75" customHeight="1" x14ac:dyDescent="0.2">
      <c r="A9" s="245" t="s">
        <v>171</v>
      </c>
      <c r="B9" s="245"/>
      <c r="C9" s="245"/>
      <c r="D9" s="245"/>
      <c r="E9" s="245"/>
      <c r="F9" s="245"/>
      <c r="G9" s="65">
        <v>2</v>
      </c>
      <c r="H9" s="66">
        <f>H10+H11+H12+H13+H14+H15+H16+H17</f>
        <v>6848097.1472463869</v>
      </c>
      <c r="I9" s="66">
        <f>I10+I11+I12+I13+I14+I15+I16+I17</f>
        <v>1223133</v>
      </c>
    </row>
    <row r="10" spans="1:9" ht="12.75" customHeight="1" x14ac:dyDescent="0.2">
      <c r="A10" s="224" t="s">
        <v>172</v>
      </c>
      <c r="B10" s="224"/>
      <c r="C10" s="224"/>
      <c r="D10" s="224"/>
      <c r="E10" s="224"/>
      <c r="F10" s="224"/>
      <c r="G10" s="63">
        <v>3</v>
      </c>
      <c r="H10" s="64">
        <v>2230481.7519368115</v>
      </c>
      <c r="I10" s="64">
        <f>RDG!J24</f>
        <v>1137416</v>
      </c>
    </row>
    <row r="11" spans="1:9" ht="22.15" customHeight="1" x14ac:dyDescent="0.2">
      <c r="A11" s="224" t="s">
        <v>173</v>
      </c>
      <c r="B11" s="224"/>
      <c r="C11" s="224"/>
      <c r="D11" s="224"/>
      <c r="E11" s="224"/>
      <c r="F11" s="224"/>
      <c r="G11" s="63">
        <v>4</v>
      </c>
      <c r="H11" s="64">
        <v>302753.80074789299</v>
      </c>
      <c r="I11" s="64">
        <v>680065</v>
      </c>
    </row>
    <row r="12" spans="1:9" ht="23.45" customHeight="1" x14ac:dyDescent="0.2">
      <c r="A12" s="224" t="s">
        <v>174</v>
      </c>
      <c r="B12" s="224"/>
      <c r="C12" s="224"/>
      <c r="D12" s="224"/>
      <c r="E12" s="224"/>
      <c r="F12" s="224"/>
      <c r="G12" s="63">
        <v>5</v>
      </c>
      <c r="H12" s="64">
        <v>-1880.51</v>
      </c>
      <c r="I12" s="64">
        <v>0</v>
      </c>
    </row>
    <row r="13" spans="1:9" ht="12.75" customHeight="1" x14ac:dyDescent="0.2">
      <c r="A13" s="224" t="s">
        <v>175</v>
      </c>
      <c r="B13" s="224"/>
      <c r="C13" s="224"/>
      <c r="D13" s="224"/>
      <c r="E13" s="224"/>
      <c r="F13" s="224"/>
      <c r="G13" s="63">
        <v>6</v>
      </c>
      <c r="H13" s="64">
        <v>673743.5</v>
      </c>
      <c r="I13" s="64">
        <v>0</v>
      </c>
    </row>
    <row r="14" spans="1:9" ht="12.75" customHeight="1" x14ac:dyDescent="0.2">
      <c r="A14" s="224" t="s">
        <v>176</v>
      </c>
      <c r="B14" s="224"/>
      <c r="C14" s="224"/>
      <c r="D14" s="224"/>
      <c r="E14" s="224"/>
      <c r="F14" s="224"/>
      <c r="G14" s="63">
        <v>7</v>
      </c>
      <c r="H14" s="64">
        <v>-453835.39543831733</v>
      </c>
      <c r="I14" s="64">
        <v>0</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4096834</v>
      </c>
      <c r="I17" s="64">
        <f>-668898+64664+9886</f>
        <v>-594348</v>
      </c>
    </row>
    <row r="18" spans="1:9" ht="28.15" customHeight="1" x14ac:dyDescent="0.2">
      <c r="A18" s="241" t="s">
        <v>306</v>
      </c>
      <c r="B18" s="241"/>
      <c r="C18" s="241"/>
      <c r="D18" s="241"/>
      <c r="E18" s="241"/>
      <c r="F18" s="241"/>
      <c r="G18" s="65">
        <v>11</v>
      </c>
      <c r="H18" s="66">
        <f>H8+H9</f>
        <v>10698548.147246387</v>
      </c>
      <c r="I18" s="66">
        <f>I8+I9</f>
        <v>1734658</v>
      </c>
    </row>
    <row r="19" spans="1:9" ht="12.75" customHeight="1" x14ac:dyDescent="0.2">
      <c r="A19" s="245" t="s">
        <v>180</v>
      </c>
      <c r="B19" s="245"/>
      <c r="C19" s="245"/>
      <c r="D19" s="245"/>
      <c r="E19" s="245"/>
      <c r="F19" s="245"/>
      <c r="G19" s="65">
        <v>12</v>
      </c>
      <c r="H19" s="66">
        <f>H20+H21+H22+H23</f>
        <v>-9763119</v>
      </c>
      <c r="I19" s="66">
        <f>I20+I21+I22+I23</f>
        <v>-1054672</v>
      </c>
    </row>
    <row r="20" spans="1:9" ht="12.75" customHeight="1" x14ac:dyDescent="0.2">
      <c r="A20" s="224" t="s">
        <v>181</v>
      </c>
      <c r="B20" s="224"/>
      <c r="C20" s="224"/>
      <c r="D20" s="224"/>
      <c r="E20" s="224"/>
      <c r="F20" s="224"/>
      <c r="G20" s="63">
        <v>13</v>
      </c>
      <c r="H20" s="64">
        <v>-11553651</v>
      </c>
      <c r="I20" s="64">
        <v>1175604</v>
      </c>
    </row>
    <row r="21" spans="1:9" ht="12.75" customHeight="1" x14ac:dyDescent="0.2">
      <c r="A21" s="224" t="s">
        <v>182</v>
      </c>
      <c r="B21" s="224"/>
      <c r="C21" s="224"/>
      <c r="D21" s="224"/>
      <c r="E21" s="224"/>
      <c r="F21" s="224"/>
      <c r="G21" s="63">
        <v>14</v>
      </c>
      <c r="H21" s="64">
        <v>1855007</v>
      </c>
      <c r="I21" s="64">
        <v>-1286299</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-64475</v>
      </c>
      <c r="I23" s="64">
        <v>-943977</v>
      </c>
    </row>
    <row r="24" spans="1:9" ht="12.75" customHeight="1" x14ac:dyDescent="0.2">
      <c r="A24" s="241" t="s">
        <v>185</v>
      </c>
      <c r="B24" s="241"/>
      <c r="C24" s="241"/>
      <c r="D24" s="241"/>
      <c r="E24" s="241"/>
      <c r="F24" s="241"/>
      <c r="G24" s="65">
        <v>17</v>
      </c>
      <c r="H24" s="66">
        <f>H18+H19</f>
        <v>935429.14724638686</v>
      </c>
      <c r="I24" s="66">
        <f>I18+I19</f>
        <v>679986</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935429.14724638686</v>
      </c>
      <c r="I27" s="66">
        <f>I24+I25+I26</f>
        <v>679986</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780000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780000</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-367917</v>
      </c>
      <c r="I38" s="67">
        <v>-1058165.7500000005</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-367917</v>
      </c>
      <c r="I41" s="68">
        <f>I36+I37+I38+I39+I40</f>
        <v>-1058165.7500000005</v>
      </c>
    </row>
    <row r="42" spans="1:9" ht="29.45" customHeight="1" x14ac:dyDescent="0.2">
      <c r="A42" s="242" t="s">
        <v>203</v>
      </c>
      <c r="B42" s="242"/>
      <c r="C42" s="242"/>
      <c r="D42" s="242"/>
      <c r="E42" s="242"/>
      <c r="F42" s="242"/>
      <c r="G42" s="65">
        <v>34</v>
      </c>
      <c r="H42" s="68">
        <f>H35+H41</f>
        <v>412083</v>
      </c>
      <c r="I42" s="68">
        <f>I35+I41</f>
        <v>-1058165.7500000005</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f>4280+111</f>
        <v>4391</v>
      </c>
    </row>
    <row r="48" spans="1:9" ht="22.15" customHeight="1" x14ac:dyDescent="0.2">
      <c r="A48" s="241" t="s">
        <v>209</v>
      </c>
      <c r="B48" s="241"/>
      <c r="C48" s="241"/>
      <c r="D48" s="241"/>
      <c r="E48" s="241"/>
      <c r="F48" s="241"/>
      <c r="G48" s="65">
        <v>39</v>
      </c>
      <c r="H48" s="68">
        <f>H44+H45+H46+H47</f>
        <v>0</v>
      </c>
      <c r="I48" s="68">
        <f>I44+I45+I46+I47</f>
        <v>4391</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-1426602.96</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-1426602.96</v>
      </c>
      <c r="I54" s="68">
        <f>I49+I50+I51+I52+I53</f>
        <v>0</v>
      </c>
    </row>
    <row r="55" spans="1:9" ht="29.45" customHeight="1" x14ac:dyDescent="0.2">
      <c r="A55" s="242" t="s">
        <v>215</v>
      </c>
      <c r="B55" s="242"/>
      <c r="C55" s="242"/>
      <c r="D55" s="242"/>
      <c r="E55" s="242"/>
      <c r="F55" s="242"/>
      <c r="G55" s="65">
        <v>46</v>
      </c>
      <c r="H55" s="68">
        <f>H48+H54</f>
        <v>-1426602.96</v>
      </c>
      <c r="I55" s="68">
        <f>I48+I54</f>
        <v>4391</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-79090.812753613107</v>
      </c>
      <c r="I57" s="68">
        <f>I27+I42+I55+I56</f>
        <v>-373788.75000000047</v>
      </c>
    </row>
    <row r="58" spans="1:9" x14ac:dyDescent="0.2">
      <c r="A58" s="244" t="s">
        <v>218</v>
      </c>
      <c r="B58" s="244"/>
      <c r="C58" s="244"/>
      <c r="D58" s="244"/>
      <c r="E58" s="244"/>
      <c r="F58" s="244"/>
      <c r="G58" s="63">
        <v>49</v>
      </c>
      <c r="H58" s="67">
        <v>512774</v>
      </c>
      <c r="I58" s="67">
        <v>433683</v>
      </c>
    </row>
    <row r="59" spans="1:9" ht="31.15" customHeight="1" x14ac:dyDescent="0.2">
      <c r="A59" s="242" t="s">
        <v>219</v>
      </c>
      <c r="B59" s="242"/>
      <c r="C59" s="242"/>
      <c r="D59" s="242"/>
      <c r="E59" s="242"/>
      <c r="F59" s="242"/>
      <c r="G59" s="65">
        <v>50</v>
      </c>
      <c r="H59" s="68">
        <f>H57+H58</f>
        <v>433683.18724638689</v>
      </c>
      <c r="I59" s="68">
        <f>I57+I58</f>
        <v>59894.249999999534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70" t="s">
        <v>328</v>
      </c>
      <c r="B2" s="200"/>
      <c r="C2" s="200"/>
      <c r="D2" s="200"/>
      <c r="E2" s="200"/>
      <c r="F2" s="200"/>
      <c r="G2" s="200"/>
      <c r="H2" s="200"/>
      <c r="I2" s="200"/>
    </row>
    <row r="3" spans="1:9" x14ac:dyDescent="0.2">
      <c r="A3" s="255" t="s">
        <v>448</v>
      </c>
      <c r="B3" s="256"/>
      <c r="C3" s="256"/>
      <c r="D3" s="256"/>
      <c r="E3" s="256"/>
      <c r="F3" s="256"/>
      <c r="G3" s="256"/>
      <c r="H3" s="256"/>
      <c r="I3" s="256"/>
    </row>
    <row r="4" spans="1:9" x14ac:dyDescent="0.2">
      <c r="A4" s="248"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1">
        <v>1</v>
      </c>
      <c r="B6" s="262"/>
      <c r="C6" s="262"/>
      <c r="D6" s="262"/>
      <c r="E6" s="262"/>
      <c r="F6" s="263"/>
      <c r="G6" s="15">
        <v>2</v>
      </c>
      <c r="H6" s="21" t="s">
        <v>167</v>
      </c>
      <c r="I6" s="21" t="s">
        <v>168</v>
      </c>
    </row>
    <row r="7" spans="1:9" x14ac:dyDescent="0.2">
      <c r="A7" s="266" t="s">
        <v>169</v>
      </c>
      <c r="B7" s="267"/>
      <c r="C7" s="267"/>
      <c r="D7" s="267"/>
      <c r="E7" s="267"/>
      <c r="F7" s="267"/>
      <c r="G7" s="267"/>
      <c r="H7" s="267"/>
      <c r="I7" s="268"/>
    </row>
    <row r="8" spans="1:9" x14ac:dyDescent="0.2">
      <c r="A8" s="269" t="s">
        <v>221</v>
      </c>
      <c r="B8" s="269"/>
      <c r="C8" s="269"/>
      <c r="D8" s="269"/>
      <c r="E8" s="269"/>
      <c r="F8" s="269"/>
      <c r="G8" s="16">
        <v>1</v>
      </c>
      <c r="H8" s="23"/>
      <c r="I8" s="23"/>
    </row>
    <row r="9" spans="1:9" x14ac:dyDescent="0.2">
      <c r="A9" s="253" t="s">
        <v>222</v>
      </c>
      <c r="B9" s="253"/>
      <c r="C9" s="253"/>
      <c r="D9" s="253"/>
      <c r="E9" s="253"/>
      <c r="F9" s="253"/>
      <c r="G9" s="17">
        <v>2</v>
      </c>
      <c r="H9" s="24"/>
      <c r="I9" s="24"/>
    </row>
    <row r="10" spans="1:9" x14ac:dyDescent="0.2">
      <c r="A10" s="253" t="s">
        <v>223</v>
      </c>
      <c r="B10" s="253"/>
      <c r="C10" s="253"/>
      <c r="D10" s="253"/>
      <c r="E10" s="253"/>
      <c r="F10" s="253"/>
      <c r="G10" s="17">
        <v>3</v>
      </c>
      <c r="H10" s="24"/>
      <c r="I10" s="24"/>
    </row>
    <row r="11" spans="1:9" x14ac:dyDescent="0.2">
      <c r="A11" s="253" t="s">
        <v>224</v>
      </c>
      <c r="B11" s="253"/>
      <c r="C11" s="253"/>
      <c r="D11" s="253"/>
      <c r="E11" s="253"/>
      <c r="F11" s="253"/>
      <c r="G11" s="17">
        <v>4</v>
      </c>
      <c r="H11" s="24"/>
      <c r="I11" s="24"/>
    </row>
    <row r="12" spans="1:9" x14ac:dyDescent="0.2">
      <c r="A12" s="253" t="s">
        <v>395</v>
      </c>
      <c r="B12" s="253"/>
      <c r="C12" s="253"/>
      <c r="D12" s="253"/>
      <c r="E12" s="253"/>
      <c r="F12" s="253"/>
      <c r="G12" s="17">
        <v>5</v>
      </c>
      <c r="H12" s="24"/>
      <c r="I12" s="24"/>
    </row>
    <row r="13" spans="1:9" x14ac:dyDescent="0.2">
      <c r="A13" s="254" t="s">
        <v>396</v>
      </c>
      <c r="B13" s="254"/>
      <c r="C13" s="254"/>
      <c r="D13" s="254"/>
      <c r="E13" s="254"/>
      <c r="F13" s="254"/>
      <c r="G13" s="53">
        <v>6</v>
      </c>
      <c r="H13" s="56">
        <f>SUM(H8:H12)</f>
        <v>0</v>
      </c>
      <c r="I13" s="56">
        <f>SUM(I8:I12)</f>
        <v>0</v>
      </c>
    </row>
    <row r="14" spans="1:9" ht="12.75" customHeight="1" x14ac:dyDescent="0.2">
      <c r="A14" s="253" t="s">
        <v>397</v>
      </c>
      <c r="B14" s="253"/>
      <c r="C14" s="253"/>
      <c r="D14" s="253"/>
      <c r="E14" s="253"/>
      <c r="F14" s="253"/>
      <c r="G14" s="17">
        <v>7</v>
      </c>
      <c r="H14" s="24"/>
      <c r="I14" s="24"/>
    </row>
    <row r="15" spans="1:9" ht="12.75" customHeight="1" x14ac:dyDescent="0.2">
      <c r="A15" s="253" t="s">
        <v>398</v>
      </c>
      <c r="B15" s="253"/>
      <c r="C15" s="253"/>
      <c r="D15" s="253"/>
      <c r="E15" s="253"/>
      <c r="F15" s="253"/>
      <c r="G15" s="17">
        <v>8</v>
      </c>
      <c r="H15" s="24"/>
      <c r="I15" s="24"/>
    </row>
    <row r="16" spans="1:9" ht="12.75" customHeight="1" x14ac:dyDescent="0.2">
      <c r="A16" s="253" t="s">
        <v>399</v>
      </c>
      <c r="B16" s="253"/>
      <c r="C16" s="253"/>
      <c r="D16" s="253"/>
      <c r="E16" s="253"/>
      <c r="F16" s="253"/>
      <c r="G16" s="17">
        <v>9</v>
      </c>
      <c r="H16" s="24"/>
      <c r="I16" s="24"/>
    </row>
    <row r="17" spans="1:9" ht="12.75" customHeight="1" x14ac:dyDescent="0.2">
      <c r="A17" s="253" t="s">
        <v>400</v>
      </c>
      <c r="B17" s="253"/>
      <c r="C17" s="253"/>
      <c r="D17" s="253"/>
      <c r="E17" s="253"/>
      <c r="F17" s="253"/>
      <c r="G17" s="17">
        <v>10</v>
      </c>
      <c r="H17" s="24"/>
      <c r="I17" s="24"/>
    </row>
    <row r="18" spans="1:9" ht="12.75" customHeight="1" x14ac:dyDescent="0.2">
      <c r="A18" s="253" t="s">
        <v>401</v>
      </c>
      <c r="B18" s="253"/>
      <c r="C18" s="253"/>
      <c r="D18" s="253"/>
      <c r="E18" s="253"/>
      <c r="F18" s="253"/>
      <c r="G18" s="17">
        <v>11</v>
      </c>
      <c r="H18" s="24"/>
      <c r="I18" s="24"/>
    </row>
    <row r="19" spans="1:9" ht="12.75" customHeight="1" x14ac:dyDescent="0.2">
      <c r="A19" s="253" t="s">
        <v>402</v>
      </c>
      <c r="B19" s="253"/>
      <c r="C19" s="253"/>
      <c r="D19" s="253"/>
      <c r="E19" s="253"/>
      <c r="F19" s="253"/>
      <c r="G19" s="17">
        <v>12</v>
      </c>
      <c r="H19" s="24"/>
      <c r="I19" s="24"/>
    </row>
    <row r="20" spans="1:9" ht="26.25" customHeight="1" x14ac:dyDescent="0.2">
      <c r="A20" s="254" t="s">
        <v>403</v>
      </c>
      <c r="B20" s="254"/>
      <c r="C20" s="254"/>
      <c r="D20" s="254"/>
      <c r="E20" s="254"/>
      <c r="F20" s="254"/>
      <c r="G20" s="53">
        <v>13</v>
      </c>
      <c r="H20" s="56">
        <f>SUM(H14:H19)</f>
        <v>0</v>
      </c>
      <c r="I20" s="56">
        <f>SUM(I14:I19)</f>
        <v>0</v>
      </c>
    </row>
    <row r="21" spans="1:9" ht="27.6" customHeight="1" x14ac:dyDescent="0.2">
      <c r="A21" s="265" t="s">
        <v>404</v>
      </c>
      <c r="B21" s="265"/>
      <c r="C21" s="265"/>
      <c r="D21" s="265"/>
      <c r="E21" s="265"/>
      <c r="F21" s="265"/>
      <c r="G21" s="54">
        <v>14</v>
      </c>
      <c r="H21" s="25">
        <f>H13+H20</f>
        <v>0</v>
      </c>
      <c r="I21" s="25">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16">
        <v>15</v>
      </c>
      <c r="H23" s="23"/>
      <c r="I23" s="23"/>
    </row>
    <row r="24" spans="1:9" ht="12.75" customHeight="1" x14ac:dyDescent="0.2">
      <c r="A24" s="253" t="s">
        <v>226</v>
      </c>
      <c r="B24" s="253"/>
      <c r="C24" s="253"/>
      <c r="D24" s="253"/>
      <c r="E24" s="253"/>
      <c r="F24" s="253"/>
      <c r="G24" s="16">
        <v>16</v>
      </c>
      <c r="H24" s="24"/>
      <c r="I24" s="24"/>
    </row>
    <row r="25" spans="1:9" ht="12.75" customHeight="1" x14ac:dyDescent="0.2">
      <c r="A25" s="253" t="s">
        <v>227</v>
      </c>
      <c r="B25" s="253"/>
      <c r="C25" s="253"/>
      <c r="D25" s="253"/>
      <c r="E25" s="253"/>
      <c r="F25" s="253"/>
      <c r="G25" s="16">
        <v>17</v>
      </c>
      <c r="H25" s="24"/>
      <c r="I25" s="24"/>
    </row>
    <row r="26" spans="1:9" ht="12.75" customHeight="1" x14ac:dyDescent="0.2">
      <c r="A26" s="253" t="s">
        <v>228</v>
      </c>
      <c r="B26" s="253"/>
      <c r="C26" s="253"/>
      <c r="D26" s="253"/>
      <c r="E26" s="253"/>
      <c r="F26" s="253"/>
      <c r="G26" s="16">
        <v>18</v>
      </c>
      <c r="H26" s="24"/>
      <c r="I26" s="24"/>
    </row>
    <row r="27" spans="1:9" ht="12.75" customHeight="1" x14ac:dyDescent="0.2">
      <c r="A27" s="253" t="s">
        <v>229</v>
      </c>
      <c r="B27" s="253"/>
      <c r="C27" s="253"/>
      <c r="D27" s="253"/>
      <c r="E27" s="253"/>
      <c r="F27" s="253"/>
      <c r="G27" s="16">
        <v>19</v>
      </c>
      <c r="H27" s="24"/>
      <c r="I27" s="24"/>
    </row>
    <row r="28" spans="1:9" ht="12.75" customHeight="1" x14ac:dyDescent="0.2">
      <c r="A28" s="253" t="s">
        <v>230</v>
      </c>
      <c r="B28" s="253"/>
      <c r="C28" s="253"/>
      <c r="D28" s="253"/>
      <c r="E28" s="253"/>
      <c r="F28" s="253"/>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3" t="s">
        <v>231</v>
      </c>
      <c r="B30" s="253"/>
      <c r="C30" s="253"/>
      <c r="D30" s="253"/>
      <c r="E30" s="253"/>
      <c r="F30" s="253"/>
      <c r="G30" s="17">
        <v>22</v>
      </c>
      <c r="H30" s="24"/>
      <c r="I30" s="24"/>
    </row>
    <row r="31" spans="1:9" ht="12.75" customHeight="1" x14ac:dyDescent="0.2">
      <c r="A31" s="253" t="s">
        <v>232</v>
      </c>
      <c r="B31" s="253"/>
      <c r="C31" s="253"/>
      <c r="D31" s="253"/>
      <c r="E31" s="253"/>
      <c r="F31" s="253"/>
      <c r="G31" s="17">
        <v>23</v>
      </c>
      <c r="H31" s="24"/>
      <c r="I31" s="24"/>
    </row>
    <row r="32" spans="1:9" ht="12.75" customHeight="1" x14ac:dyDescent="0.2">
      <c r="A32" s="253" t="s">
        <v>406</v>
      </c>
      <c r="B32" s="253"/>
      <c r="C32" s="253"/>
      <c r="D32" s="253"/>
      <c r="E32" s="253"/>
      <c r="F32" s="253"/>
      <c r="G32" s="17">
        <v>24</v>
      </c>
      <c r="H32" s="24"/>
      <c r="I32" s="24"/>
    </row>
    <row r="33" spans="1:9" ht="12.75" customHeight="1" x14ac:dyDescent="0.2">
      <c r="A33" s="253" t="s">
        <v>233</v>
      </c>
      <c r="B33" s="253"/>
      <c r="C33" s="253"/>
      <c r="D33" s="253"/>
      <c r="E33" s="253"/>
      <c r="F33" s="253"/>
      <c r="G33" s="17">
        <v>25</v>
      </c>
      <c r="H33" s="24"/>
      <c r="I33" s="24"/>
    </row>
    <row r="34" spans="1:9" ht="12.75" customHeight="1" x14ac:dyDescent="0.2">
      <c r="A34" s="253" t="s">
        <v>234</v>
      </c>
      <c r="B34" s="253"/>
      <c r="C34" s="253"/>
      <c r="D34" s="253"/>
      <c r="E34" s="253"/>
      <c r="F34" s="253"/>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5" t="s">
        <v>408</v>
      </c>
      <c r="B36" s="265"/>
      <c r="C36" s="265"/>
      <c r="D36" s="265"/>
      <c r="E36" s="265"/>
      <c r="F36" s="265"/>
      <c r="G36" s="54">
        <v>28</v>
      </c>
      <c r="H36" s="58">
        <f>H29+H35</f>
        <v>0</v>
      </c>
      <c r="I36" s="58">
        <f>I29+I35</f>
        <v>0</v>
      </c>
    </row>
    <row r="37" spans="1:9" x14ac:dyDescent="0.2">
      <c r="A37" s="266" t="s">
        <v>204</v>
      </c>
      <c r="B37" s="267"/>
      <c r="C37" s="267"/>
      <c r="D37" s="267"/>
      <c r="E37" s="267"/>
      <c r="F37" s="267"/>
      <c r="G37" s="267">
        <v>0</v>
      </c>
      <c r="H37" s="267"/>
      <c r="I37" s="268"/>
    </row>
    <row r="38" spans="1:9" ht="12.75" customHeight="1" x14ac:dyDescent="0.2">
      <c r="A38" s="274" t="s">
        <v>235</v>
      </c>
      <c r="B38" s="274"/>
      <c r="C38" s="274"/>
      <c r="D38" s="274"/>
      <c r="E38" s="274"/>
      <c r="F38" s="274"/>
      <c r="G38" s="16">
        <v>29</v>
      </c>
      <c r="H38" s="23"/>
      <c r="I38" s="23"/>
    </row>
    <row r="39" spans="1:9" ht="25.15" customHeight="1" x14ac:dyDescent="0.2">
      <c r="A39" s="258" t="s">
        <v>236</v>
      </c>
      <c r="B39" s="258"/>
      <c r="C39" s="258"/>
      <c r="D39" s="258"/>
      <c r="E39" s="258"/>
      <c r="F39" s="258"/>
      <c r="G39" s="17">
        <v>30</v>
      </c>
      <c r="H39" s="24"/>
      <c r="I39" s="24"/>
    </row>
    <row r="40" spans="1:9" ht="12.75" customHeight="1" x14ac:dyDescent="0.2">
      <c r="A40" s="258" t="s">
        <v>237</v>
      </c>
      <c r="B40" s="258"/>
      <c r="C40" s="258"/>
      <c r="D40" s="258"/>
      <c r="E40" s="258"/>
      <c r="F40" s="258"/>
      <c r="G40" s="17">
        <v>31</v>
      </c>
      <c r="H40" s="24"/>
      <c r="I40" s="24"/>
    </row>
    <row r="41" spans="1:9" ht="12.75" customHeight="1" x14ac:dyDescent="0.2">
      <c r="A41" s="258" t="s">
        <v>238</v>
      </c>
      <c r="B41" s="258"/>
      <c r="C41" s="258"/>
      <c r="D41" s="258"/>
      <c r="E41" s="258"/>
      <c r="F41" s="258"/>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8" t="s">
        <v>239</v>
      </c>
      <c r="B43" s="258"/>
      <c r="C43" s="258"/>
      <c r="D43" s="258"/>
      <c r="E43" s="258"/>
      <c r="F43" s="258"/>
      <c r="G43" s="17">
        <v>34</v>
      </c>
      <c r="H43" s="24"/>
      <c r="I43" s="24"/>
    </row>
    <row r="44" spans="1:9" ht="12.75" customHeight="1" x14ac:dyDescent="0.2">
      <c r="A44" s="258" t="s">
        <v>240</v>
      </c>
      <c r="B44" s="258"/>
      <c r="C44" s="258"/>
      <c r="D44" s="258"/>
      <c r="E44" s="258"/>
      <c r="F44" s="258"/>
      <c r="G44" s="17">
        <v>35</v>
      </c>
      <c r="H44" s="24"/>
      <c r="I44" s="24"/>
    </row>
    <row r="45" spans="1:9" ht="12.75" customHeight="1" x14ac:dyDescent="0.2">
      <c r="A45" s="258" t="s">
        <v>241</v>
      </c>
      <c r="B45" s="258"/>
      <c r="C45" s="258"/>
      <c r="D45" s="258"/>
      <c r="E45" s="258"/>
      <c r="F45" s="258"/>
      <c r="G45" s="17">
        <v>36</v>
      </c>
      <c r="H45" s="24"/>
      <c r="I45" s="24"/>
    </row>
    <row r="46" spans="1:9" ht="21" customHeight="1" x14ac:dyDescent="0.2">
      <c r="A46" s="258" t="s">
        <v>242</v>
      </c>
      <c r="B46" s="258"/>
      <c r="C46" s="258"/>
      <c r="D46" s="258"/>
      <c r="E46" s="258"/>
      <c r="F46" s="258"/>
      <c r="G46" s="17">
        <v>37</v>
      </c>
      <c r="H46" s="24"/>
      <c r="I46" s="24"/>
    </row>
    <row r="47" spans="1:9" ht="12.75" customHeight="1" x14ac:dyDescent="0.2">
      <c r="A47" s="258" t="s">
        <v>243</v>
      </c>
      <c r="B47" s="258"/>
      <c r="C47" s="258"/>
      <c r="D47" s="258"/>
      <c r="E47" s="258"/>
      <c r="F47" s="258"/>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60" t="s">
        <v>445</v>
      </c>
      <c r="B49" s="260"/>
      <c r="C49" s="260"/>
      <c r="D49" s="260"/>
      <c r="E49" s="260"/>
      <c r="F49" s="260"/>
      <c r="G49" s="53">
        <v>40</v>
      </c>
      <c r="H49" s="57">
        <f>H48+H42</f>
        <v>0</v>
      </c>
      <c r="I49" s="57">
        <f>I48+I42</f>
        <v>0</v>
      </c>
    </row>
    <row r="50" spans="1:9" ht="12.75" customHeight="1" x14ac:dyDescent="0.2">
      <c r="A50" s="253" t="s">
        <v>244</v>
      </c>
      <c r="B50" s="253"/>
      <c r="C50" s="253"/>
      <c r="D50" s="253"/>
      <c r="E50" s="253"/>
      <c r="F50" s="253"/>
      <c r="G50" s="17">
        <v>41</v>
      </c>
      <c r="H50" s="24"/>
      <c r="I50" s="24"/>
    </row>
    <row r="51" spans="1:9" ht="25.9" customHeight="1" x14ac:dyDescent="0.2">
      <c r="A51" s="260" t="s">
        <v>411</v>
      </c>
      <c r="B51" s="260"/>
      <c r="C51" s="260"/>
      <c r="D51" s="260"/>
      <c r="E51" s="260"/>
      <c r="F51" s="260"/>
      <c r="G51" s="53">
        <v>42</v>
      </c>
      <c r="H51" s="57">
        <f>H21+H36+H49+H50</f>
        <v>0</v>
      </c>
      <c r="I51" s="57">
        <f>I21+I36+I49+I50</f>
        <v>0</v>
      </c>
    </row>
    <row r="52" spans="1:9" ht="12.75" customHeight="1" x14ac:dyDescent="0.2">
      <c r="A52" s="264" t="s">
        <v>218</v>
      </c>
      <c r="B52" s="264"/>
      <c r="C52" s="264"/>
      <c r="D52" s="264"/>
      <c r="E52" s="264"/>
      <c r="F52" s="264"/>
      <c r="G52" s="17">
        <v>43</v>
      </c>
      <c r="H52" s="24"/>
      <c r="I52" s="24"/>
    </row>
    <row r="53" spans="1:9" ht="31.9" customHeight="1" x14ac:dyDescent="0.2">
      <c r="A53" s="257" t="s">
        <v>412</v>
      </c>
      <c r="B53" s="257"/>
      <c r="C53" s="257"/>
      <c r="D53" s="257"/>
      <c r="E53" s="257"/>
      <c r="F53" s="25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39" zoomScale="80" zoomScaleNormal="100" zoomScaleSheetLayoutView="80" workbookViewId="0">
      <selection activeCell="U53" sqref="U5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45473</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15476105</v>
      </c>
      <c r="I7" s="33">
        <v>-33895</v>
      </c>
      <c r="J7" s="33">
        <v>0</v>
      </c>
      <c r="K7" s="33">
        <v>191958</v>
      </c>
      <c r="L7" s="33">
        <v>483564</v>
      </c>
      <c r="M7" s="33">
        <v>0</v>
      </c>
      <c r="N7" s="33">
        <v>0</v>
      </c>
      <c r="O7" s="33">
        <v>5518291</v>
      </c>
      <c r="P7" s="33">
        <v>133711</v>
      </c>
      <c r="Q7" s="33">
        <v>0</v>
      </c>
      <c r="R7" s="33">
        <v>0</v>
      </c>
      <c r="S7" s="33">
        <v>0</v>
      </c>
      <c r="T7" s="33">
        <v>-35491</v>
      </c>
      <c r="U7" s="33">
        <v>-35835433</v>
      </c>
      <c r="V7" s="33">
        <v>2008657</v>
      </c>
      <c r="W7" s="34">
        <f>H7+I7+J7+K7-L7+M7+N7+O7+P7+Q7+R7+U7+V7+S7+T7</f>
        <v>-13059661</v>
      </c>
      <c r="X7" s="33">
        <v>61484</v>
      </c>
      <c r="Y7" s="34">
        <f>W7+X7</f>
        <v>-12998177</v>
      </c>
    </row>
    <row r="8" spans="1:25" x14ac:dyDescent="0.2">
      <c r="A8" s="277" t="s">
        <v>265</v>
      </c>
      <c r="B8" s="277"/>
      <c r="C8" s="277"/>
      <c r="D8" s="277"/>
      <c r="E8" s="277"/>
      <c r="F8" s="277"/>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7" t="s">
        <v>266</v>
      </c>
      <c r="B9" s="277"/>
      <c r="C9" s="277"/>
      <c r="D9" s="277"/>
      <c r="E9" s="277"/>
      <c r="F9" s="277"/>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83" t="s">
        <v>299</v>
      </c>
      <c r="B10" s="283"/>
      <c r="C10" s="283"/>
      <c r="D10" s="283"/>
      <c r="E10" s="283"/>
      <c r="F10" s="283"/>
      <c r="G10" s="7">
        <v>4</v>
      </c>
      <c r="H10" s="34">
        <f>H7+H8+H9</f>
        <v>15476105</v>
      </c>
      <c r="I10" s="34">
        <f t="shared" ref="I10:Y10" si="2">I7+I8+I9</f>
        <v>-33895</v>
      </c>
      <c r="J10" s="34">
        <f t="shared" si="2"/>
        <v>0</v>
      </c>
      <c r="K10" s="34">
        <f>K7+K8+K9</f>
        <v>191958</v>
      </c>
      <c r="L10" s="34">
        <f t="shared" si="2"/>
        <v>483564</v>
      </c>
      <c r="M10" s="34">
        <f t="shared" si="2"/>
        <v>0</v>
      </c>
      <c r="N10" s="34">
        <f t="shared" si="2"/>
        <v>0</v>
      </c>
      <c r="O10" s="34">
        <f t="shared" si="2"/>
        <v>5518291</v>
      </c>
      <c r="P10" s="34">
        <f t="shared" si="2"/>
        <v>133711</v>
      </c>
      <c r="Q10" s="34">
        <f t="shared" si="2"/>
        <v>0</v>
      </c>
      <c r="R10" s="34">
        <f t="shared" si="2"/>
        <v>0</v>
      </c>
      <c r="S10" s="34">
        <f t="shared" si="2"/>
        <v>0</v>
      </c>
      <c r="T10" s="34">
        <f t="shared" si="2"/>
        <v>-35491</v>
      </c>
      <c r="U10" s="34">
        <f t="shared" si="2"/>
        <v>-35835433</v>
      </c>
      <c r="V10" s="34">
        <f t="shared" si="2"/>
        <v>2008657</v>
      </c>
      <c r="W10" s="34">
        <f t="shared" si="2"/>
        <v>-13059661</v>
      </c>
      <c r="X10" s="34">
        <f t="shared" si="2"/>
        <v>61484</v>
      </c>
      <c r="Y10" s="34">
        <f t="shared" si="2"/>
        <v>-12998177</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c r="T11" s="33"/>
      <c r="U11" s="35">
        <v>0</v>
      </c>
      <c r="V11" s="33">
        <f>Bilanca!H95</f>
        <v>4985294</v>
      </c>
      <c r="W11" s="34">
        <f t="shared" ref="W11:W29" si="3">H11+I11+J11+K11-L11+M11+N11+O11+P11+Q11+R11+U11+V11+S11+T11</f>
        <v>4985294</v>
      </c>
      <c r="X11" s="33">
        <v>1598</v>
      </c>
      <c r="Y11" s="34">
        <f t="shared" ref="Y11:Y29" si="4">W11+X11</f>
        <v>4986892</v>
      </c>
    </row>
    <row r="12" spans="1:25" x14ac:dyDescent="0.2">
      <c r="A12" s="277" t="s">
        <v>268</v>
      </c>
      <c r="B12" s="277"/>
      <c r="C12" s="277"/>
      <c r="D12" s="277"/>
      <c r="E12" s="277"/>
      <c r="F12" s="277"/>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-3036477.5</v>
      </c>
      <c r="P13" s="35">
        <v>0</v>
      </c>
      <c r="Q13" s="35">
        <v>0</v>
      </c>
      <c r="R13" s="35">
        <v>0</v>
      </c>
      <c r="S13" s="33"/>
      <c r="T13" s="33"/>
      <c r="U13" s="33">
        <f>5103032+223673.56</f>
        <v>5326705.5599999996</v>
      </c>
      <c r="V13" s="33"/>
      <c r="W13" s="34">
        <f t="shared" si="3"/>
        <v>2290228.0599999996</v>
      </c>
      <c r="X13" s="33"/>
      <c r="Y13" s="34">
        <f t="shared" si="4"/>
        <v>2290228.0599999996</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7" t="s">
        <v>274</v>
      </c>
      <c r="B19" s="277"/>
      <c r="C19" s="277"/>
      <c r="D19" s="277"/>
      <c r="E19" s="277"/>
      <c r="F19" s="277"/>
      <c r="G19" s="6">
        <v>13</v>
      </c>
      <c r="H19" s="33"/>
      <c r="I19" s="33"/>
      <c r="J19" s="33"/>
      <c r="K19" s="33"/>
      <c r="L19" s="33"/>
      <c r="M19" s="33"/>
      <c r="N19" s="33"/>
      <c r="O19" s="33">
        <v>25208.35</v>
      </c>
      <c r="P19" s="33"/>
      <c r="Q19" s="33"/>
      <c r="R19" s="33"/>
      <c r="S19" s="33"/>
      <c r="T19" s="33">
        <v>321.42</v>
      </c>
      <c r="U19" s="33">
        <v>895627</v>
      </c>
      <c r="V19" s="33"/>
      <c r="W19" s="34">
        <f t="shared" si="3"/>
        <v>921156.77</v>
      </c>
      <c r="X19" s="33"/>
      <c r="Y19" s="34">
        <f t="shared" si="4"/>
        <v>921156.77</v>
      </c>
    </row>
    <row r="20" spans="1:25" x14ac:dyDescent="0.2">
      <c r="A20" s="277" t="s">
        <v>275</v>
      </c>
      <c r="B20" s="277"/>
      <c r="C20" s="277"/>
      <c r="D20" s="277"/>
      <c r="E20" s="277"/>
      <c r="F20" s="277"/>
      <c r="G20" s="6">
        <v>14</v>
      </c>
      <c r="H20" s="35">
        <v>0</v>
      </c>
      <c r="I20" s="35">
        <v>0</v>
      </c>
      <c r="J20" s="35">
        <v>0</v>
      </c>
      <c r="K20" s="35">
        <v>0</v>
      </c>
      <c r="L20" s="35">
        <v>0</v>
      </c>
      <c r="M20" s="35">
        <v>0</v>
      </c>
      <c r="N20" s="33"/>
      <c r="O20" s="33"/>
      <c r="P20" s="33"/>
      <c r="Q20" s="33"/>
      <c r="R20" s="33"/>
      <c r="S20" s="33"/>
      <c r="T20" s="33"/>
      <c r="U20" s="33">
        <v>0</v>
      </c>
      <c r="V20" s="33"/>
      <c r="W20" s="34">
        <f t="shared" si="3"/>
        <v>0</v>
      </c>
      <c r="X20" s="33"/>
      <c r="Y20" s="34">
        <f t="shared" si="4"/>
        <v>0</v>
      </c>
    </row>
    <row r="21" spans="1:25" ht="30.75" customHeight="1" x14ac:dyDescent="0.2">
      <c r="A21" s="277" t="s">
        <v>420</v>
      </c>
      <c r="B21" s="277"/>
      <c r="C21" s="277"/>
      <c r="D21" s="277"/>
      <c r="E21" s="277"/>
      <c r="F21" s="277"/>
      <c r="G21" s="6">
        <v>15</v>
      </c>
      <c r="H21" s="33">
        <v>-9339015</v>
      </c>
      <c r="I21" s="33"/>
      <c r="J21" s="33"/>
      <c r="K21" s="33"/>
      <c r="L21" s="33"/>
      <c r="M21" s="33"/>
      <c r="N21" s="33"/>
      <c r="O21" s="33"/>
      <c r="P21" s="33"/>
      <c r="Q21" s="33"/>
      <c r="R21" s="33"/>
      <c r="S21" s="33"/>
      <c r="T21" s="33">
        <v>0</v>
      </c>
      <c r="U21" s="33">
        <f>-H21</f>
        <v>9339015</v>
      </c>
      <c r="V21" s="33"/>
      <c r="W21" s="34">
        <f t="shared" si="3"/>
        <v>0</v>
      </c>
      <c r="X21" s="33"/>
      <c r="Y21" s="34">
        <f t="shared" si="4"/>
        <v>0</v>
      </c>
    </row>
    <row r="22" spans="1:25" ht="28.5" customHeight="1" x14ac:dyDescent="0.2">
      <c r="A22" s="277" t="s">
        <v>421</v>
      </c>
      <c r="B22" s="277"/>
      <c r="C22" s="277"/>
      <c r="D22" s="277"/>
      <c r="E22" s="277"/>
      <c r="F22" s="277"/>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7" t="s">
        <v>422</v>
      </c>
      <c r="B23" s="277"/>
      <c r="C23" s="277"/>
      <c r="D23" s="277"/>
      <c r="E23" s="277"/>
      <c r="F23" s="277"/>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7" t="s">
        <v>276</v>
      </c>
      <c r="B24" s="277"/>
      <c r="C24" s="277"/>
      <c r="D24" s="277"/>
      <c r="E24" s="277"/>
      <c r="F24" s="277"/>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7" t="s">
        <v>423</v>
      </c>
      <c r="B25" s="277"/>
      <c r="C25" s="277"/>
      <c r="D25" s="277"/>
      <c r="E25" s="277"/>
      <c r="F25" s="277"/>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7" t="s">
        <v>431</v>
      </c>
      <c r="B26" s="277"/>
      <c r="C26" s="277"/>
      <c r="D26" s="277"/>
      <c r="E26" s="277"/>
      <c r="F26" s="277"/>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7" t="s">
        <v>424</v>
      </c>
      <c r="B27" s="277"/>
      <c r="C27" s="277"/>
      <c r="D27" s="277"/>
      <c r="E27" s="277"/>
      <c r="F27" s="277"/>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7" t="s">
        <v>425</v>
      </c>
      <c r="B28" s="277"/>
      <c r="C28" s="277"/>
      <c r="D28" s="277"/>
      <c r="E28" s="277"/>
      <c r="F28" s="277"/>
      <c r="G28" s="6">
        <v>22</v>
      </c>
      <c r="H28" s="33"/>
      <c r="I28" s="33"/>
      <c r="J28" s="33"/>
      <c r="K28" s="33"/>
      <c r="L28" s="33"/>
      <c r="M28" s="33"/>
      <c r="N28" s="33"/>
      <c r="O28" s="33"/>
      <c r="P28" s="33"/>
      <c r="Q28" s="33"/>
      <c r="R28" s="33"/>
      <c r="S28" s="33"/>
      <c r="T28" s="33"/>
      <c r="U28" s="33">
        <f>V7</f>
        <v>2008657</v>
      </c>
      <c r="V28" s="33">
        <f>-U28</f>
        <v>-2008657</v>
      </c>
      <c r="W28" s="34">
        <f t="shared" si="3"/>
        <v>0</v>
      </c>
      <c r="X28" s="33"/>
      <c r="Y28" s="34">
        <f t="shared" si="4"/>
        <v>0</v>
      </c>
    </row>
    <row r="29" spans="1:25" ht="12.75" customHeight="1" x14ac:dyDescent="0.2">
      <c r="A29" s="277" t="s">
        <v>426</v>
      </c>
      <c r="B29" s="277"/>
      <c r="C29" s="277"/>
      <c r="D29" s="277"/>
      <c r="E29" s="277"/>
      <c r="F29" s="277"/>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78" t="s">
        <v>427</v>
      </c>
      <c r="B30" s="278"/>
      <c r="C30" s="278"/>
      <c r="D30" s="278"/>
      <c r="E30" s="278"/>
      <c r="F30" s="278"/>
      <c r="G30" s="8">
        <v>24</v>
      </c>
      <c r="H30" s="36">
        <f>SUM(H10:H29)</f>
        <v>14814630</v>
      </c>
      <c r="I30" s="36">
        <f t="shared" ref="I30:Y30" si="5">SUM(I10:I29)</f>
        <v>-33895</v>
      </c>
      <c r="J30" s="36">
        <f t="shared" si="5"/>
        <v>0</v>
      </c>
      <c r="K30" s="36">
        <f t="shared" si="5"/>
        <v>191958</v>
      </c>
      <c r="L30" s="36">
        <f t="shared" si="5"/>
        <v>483564</v>
      </c>
      <c r="M30" s="36">
        <f t="shared" si="5"/>
        <v>0</v>
      </c>
      <c r="N30" s="36">
        <f t="shared" si="5"/>
        <v>0</v>
      </c>
      <c r="O30" s="36">
        <f t="shared" si="5"/>
        <v>2507021.85</v>
      </c>
      <c r="P30" s="36">
        <f t="shared" si="5"/>
        <v>133711</v>
      </c>
      <c r="Q30" s="36">
        <f t="shared" si="5"/>
        <v>0</v>
      </c>
      <c r="R30" s="36">
        <f t="shared" si="5"/>
        <v>0</v>
      </c>
      <c r="S30" s="36">
        <f t="shared" si="5"/>
        <v>0</v>
      </c>
      <c r="T30" s="36">
        <f t="shared" si="5"/>
        <v>-35169.58</v>
      </c>
      <c r="U30" s="36">
        <f t="shared" si="5"/>
        <v>-18265428.440000001</v>
      </c>
      <c r="V30" s="36">
        <f t="shared" si="5"/>
        <v>4985294</v>
      </c>
      <c r="W30" s="36">
        <f t="shared" si="5"/>
        <v>3814557.83</v>
      </c>
      <c r="X30" s="36">
        <f t="shared" si="5"/>
        <v>63082</v>
      </c>
      <c r="Y30" s="36">
        <f t="shared" si="5"/>
        <v>3877639.83</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-3011269.15</v>
      </c>
      <c r="P32" s="34">
        <f t="shared" si="6"/>
        <v>0</v>
      </c>
      <c r="Q32" s="34">
        <f t="shared" si="6"/>
        <v>0</v>
      </c>
      <c r="R32" s="34">
        <f t="shared" si="6"/>
        <v>0</v>
      </c>
      <c r="S32" s="34">
        <f t="shared" ref="S32:T32" si="7">SUM(S12:S20)</f>
        <v>0</v>
      </c>
      <c r="T32" s="34">
        <f t="shared" si="7"/>
        <v>321.42</v>
      </c>
      <c r="U32" s="34">
        <f t="shared" si="6"/>
        <v>6222332.5599999996</v>
      </c>
      <c r="V32" s="34">
        <f t="shared" si="6"/>
        <v>0</v>
      </c>
      <c r="W32" s="34">
        <f t="shared" si="6"/>
        <v>3211384.8299999996</v>
      </c>
      <c r="X32" s="34">
        <f t="shared" si="6"/>
        <v>0</v>
      </c>
      <c r="Y32" s="34">
        <f t="shared" si="6"/>
        <v>3211384.8299999996</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-3011269.15</v>
      </c>
      <c r="P33" s="34">
        <f t="shared" si="8"/>
        <v>0</v>
      </c>
      <c r="Q33" s="34">
        <f t="shared" si="8"/>
        <v>0</v>
      </c>
      <c r="R33" s="34">
        <f t="shared" si="8"/>
        <v>0</v>
      </c>
      <c r="S33" s="34">
        <f t="shared" ref="S33:T33" si="9">S11+S32</f>
        <v>0</v>
      </c>
      <c r="T33" s="34">
        <f t="shared" si="9"/>
        <v>321.42</v>
      </c>
      <c r="U33" s="34">
        <f t="shared" si="8"/>
        <v>6222332.5599999996</v>
      </c>
      <c r="V33" s="34">
        <f t="shared" si="8"/>
        <v>4985294</v>
      </c>
      <c r="W33" s="34">
        <f t="shared" si="8"/>
        <v>8196678.8300000001</v>
      </c>
      <c r="X33" s="34">
        <f t="shared" si="8"/>
        <v>1598</v>
      </c>
      <c r="Y33" s="34">
        <f t="shared" si="8"/>
        <v>8198276.8300000001</v>
      </c>
    </row>
    <row r="34" spans="1:25" ht="30.75" customHeight="1" x14ac:dyDescent="0.2">
      <c r="A34" s="276" t="s">
        <v>429</v>
      </c>
      <c r="B34" s="276"/>
      <c r="C34" s="276"/>
      <c r="D34" s="276"/>
      <c r="E34" s="276"/>
      <c r="F34" s="276"/>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11347672</v>
      </c>
      <c r="V34" s="36">
        <f t="shared" si="10"/>
        <v>-2008657</v>
      </c>
      <c r="W34" s="36">
        <f t="shared" si="10"/>
        <v>8677540</v>
      </c>
      <c r="X34" s="36">
        <f t="shared" si="10"/>
        <v>0</v>
      </c>
      <c r="Y34" s="36">
        <f t="shared" si="10"/>
        <v>8677540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14814630</v>
      </c>
      <c r="I36" s="33">
        <f t="shared" ref="I36:V36" si="12">I30</f>
        <v>-33895</v>
      </c>
      <c r="J36" s="33">
        <f t="shared" si="12"/>
        <v>0</v>
      </c>
      <c r="K36" s="33">
        <f t="shared" si="12"/>
        <v>191958</v>
      </c>
      <c r="L36" s="33">
        <f t="shared" si="12"/>
        <v>483564</v>
      </c>
      <c r="M36" s="33">
        <f t="shared" si="12"/>
        <v>0</v>
      </c>
      <c r="N36" s="33">
        <f t="shared" si="12"/>
        <v>0</v>
      </c>
      <c r="O36" s="33">
        <f t="shared" si="12"/>
        <v>2507021.85</v>
      </c>
      <c r="P36" s="33">
        <f t="shared" si="12"/>
        <v>133711</v>
      </c>
      <c r="Q36" s="33">
        <f t="shared" si="12"/>
        <v>0</v>
      </c>
      <c r="R36" s="33">
        <f t="shared" si="12"/>
        <v>0</v>
      </c>
      <c r="S36" s="33">
        <f t="shared" si="12"/>
        <v>0</v>
      </c>
      <c r="T36" s="33">
        <f t="shared" si="12"/>
        <v>-35169.58</v>
      </c>
      <c r="U36" s="33">
        <f t="shared" si="12"/>
        <v>-18265428.440000001</v>
      </c>
      <c r="V36" s="33">
        <f t="shared" si="12"/>
        <v>4985294</v>
      </c>
      <c r="W36" s="37">
        <f>H36+I36+J36+K36-L36+M36+N36+O36+P36+Q36+R36+U36+V36+S36+T36</f>
        <v>3814557.83</v>
      </c>
      <c r="X36" s="33">
        <f>X30</f>
        <v>63082</v>
      </c>
      <c r="Y36" s="37">
        <f t="shared" ref="Y36:Y38" si="13">W36+X36</f>
        <v>3877639.83</v>
      </c>
    </row>
    <row r="37" spans="1:25" ht="12.75" customHeight="1" x14ac:dyDescent="0.2">
      <c r="A37" s="277" t="s">
        <v>265</v>
      </c>
      <c r="B37" s="277"/>
      <c r="C37" s="277"/>
      <c r="D37" s="277"/>
      <c r="E37" s="277"/>
      <c r="F37" s="277"/>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7" t="s">
        <v>266</v>
      </c>
      <c r="B38" s="277"/>
      <c r="C38" s="277"/>
      <c r="D38" s="277"/>
      <c r="E38" s="277"/>
      <c r="F38" s="277"/>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83" t="s">
        <v>430</v>
      </c>
      <c r="B39" s="283"/>
      <c r="C39" s="283"/>
      <c r="D39" s="283"/>
      <c r="E39" s="283"/>
      <c r="F39" s="283"/>
      <c r="G39" s="7">
        <v>31</v>
      </c>
      <c r="H39" s="34">
        <f>H36+H37+H38</f>
        <v>14814630</v>
      </c>
      <c r="I39" s="34">
        <f t="shared" ref="I39:Y39" si="15">I36+I37+I38</f>
        <v>-33895</v>
      </c>
      <c r="J39" s="34">
        <f t="shared" si="15"/>
        <v>0</v>
      </c>
      <c r="K39" s="34">
        <f t="shared" si="15"/>
        <v>191958</v>
      </c>
      <c r="L39" s="34">
        <f t="shared" si="15"/>
        <v>483564</v>
      </c>
      <c r="M39" s="34">
        <f t="shared" si="15"/>
        <v>0</v>
      </c>
      <c r="N39" s="34">
        <f t="shared" si="15"/>
        <v>0</v>
      </c>
      <c r="O39" s="34">
        <f t="shared" si="15"/>
        <v>2507021.85</v>
      </c>
      <c r="P39" s="34">
        <f t="shared" si="15"/>
        <v>133711</v>
      </c>
      <c r="Q39" s="34">
        <f t="shared" si="15"/>
        <v>0</v>
      </c>
      <c r="R39" s="34">
        <f t="shared" si="15"/>
        <v>0</v>
      </c>
      <c r="S39" s="34">
        <f t="shared" si="15"/>
        <v>0</v>
      </c>
      <c r="T39" s="34">
        <f t="shared" si="15"/>
        <v>-35169.58</v>
      </c>
      <c r="U39" s="34">
        <f t="shared" si="15"/>
        <v>-18265428.440000001</v>
      </c>
      <c r="V39" s="34">
        <f t="shared" si="15"/>
        <v>4985294</v>
      </c>
      <c r="W39" s="34">
        <f t="shared" si="15"/>
        <v>3814557.83</v>
      </c>
      <c r="X39" s="34">
        <f t="shared" si="15"/>
        <v>63082</v>
      </c>
      <c r="Y39" s="34">
        <f t="shared" si="15"/>
        <v>3877639.83</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c r="T40" s="33"/>
      <c r="U40" s="35">
        <v>0</v>
      </c>
      <c r="V40" s="33">
        <f>Bilanca!I95</f>
        <v>576189</v>
      </c>
      <c r="W40" s="37">
        <f t="shared" ref="W40:W58" si="16">H40+I40+J40+K40-L40+M40+N40+O40+P40+Q40+R40+U40+V40+S40+T40</f>
        <v>576189</v>
      </c>
      <c r="X40" s="33"/>
      <c r="Y40" s="37">
        <f t="shared" ref="Y40:Y58" si="17">W40+X40</f>
        <v>576189</v>
      </c>
    </row>
    <row r="41" spans="1:25" ht="12.75" customHeight="1" x14ac:dyDescent="0.2">
      <c r="A41" s="277" t="s">
        <v>268</v>
      </c>
      <c r="B41" s="277"/>
      <c r="C41" s="277"/>
      <c r="D41" s="277"/>
      <c r="E41" s="277"/>
      <c r="F41" s="277"/>
      <c r="G41" s="6">
        <v>33</v>
      </c>
      <c r="H41" s="35">
        <v>0</v>
      </c>
      <c r="I41" s="35">
        <v>0</v>
      </c>
      <c r="J41" s="35">
        <v>0</v>
      </c>
      <c r="K41" s="35">
        <v>0</v>
      </c>
      <c r="L41" s="35">
        <v>0</v>
      </c>
      <c r="M41" s="35">
        <v>0</v>
      </c>
      <c r="N41" s="33"/>
      <c r="O41" s="35">
        <v>0</v>
      </c>
      <c r="P41" s="35">
        <v>0</v>
      </c>
      <c r="Q41" s="35">
        <v>0</v>
      </c>
      <c r="R41" s="35">
        <v>0</v>
      </c>
      <c r="S41" s="33"/>
      <c r="T41" s="33"/>
      <c r="U41" s="35">
        <v>0</v>
      </c>
      <c r="V41" s="35">
        <v>0</v>
      </c>
      <c r="W41" s="37">
        <f t="shared" si="16"/>
        <v>0</v>
      </c>
      <c r="X41" s="33"/>
      <c r="Y41" s="37">
        <f t="shared" si="17"/>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f>Bilanca!I84-Bilanca!H84</f>
        <v>-152256.25</v>
      </c>
      <c r="P42" s="35">
        <v>0</v>
      </c>
      <c r="Q42" s="35">
        <v>0</v>
      </c>
      <c r="R42" s="35">
        <v>0</v>
      </c>
      <c r="S42" s="33"/>
      <c r="T42" s="33"/>
      <c r="U42" s="33">
        <v>496656</v>
      </c>
      <c r="V42" s="33"/>
      <c r="W42" s="37">
        <f t="shared" si="16"/>
        <v>344399.75</v>
      </c>
      <c r="X42" s="33"/>
      <c r="Y42" s="37">
        <f t="shared" si="17"/>
        <v>344399.75</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7" t="s">
        <v>274</v>
      </c>
      <c r="B48" s="277"/>
      <c r="C48" s="277"/>
      <c r="D48" s="277"/>
      <c r="E48" s="277"/>
      <c r="F48" s="277"/>
      <c r="G48" s="6">
        <v>40</v>
      </c>
      <c r="H48" s="33"/>
      <c r="I48" s="33"/>
      <c r="J48" s="33"/>
      <c r="K48" s="33"/>
      <c r="L48" s="33"/>
      <c r="M48" s="33"/>
      <c r="N48" s="33"/>
      <c r="O48" s="33"/>
      <c r="P48" s="33"/>
      <c r="Q48" s="33"/>
      <c r="R48" s="33"/>
      <c r="S48" s="33"/>
      <c r="T48" s="33"/>
      <c r="U48" s="33">
        <f>-424425+9886</f>
        <v>-414539</v>
      </c>
      <c r="V48" s="33"/>
      <c r="W48" s="37">
        <f t="shared" si="16"/>
        <v>-414539</v>
      </c>
      <c r="X48" s="33"/>
      <c r="Y48" s="37">
        <f t="shared" si="17"/>
        <v>-414539</v>
      </c>
    </row>
    <row r="49" spans="1:25" ht="12.75" customHeight="1" x14ac:dyDescent="0.2">
      <c r="A49" s="277" t="s">
        <v>275</v>
      </c>
      <c r="B49" s="277"/>
      <c r="C49" s="277"/>
      <c r="D49" s="277"/>
      <c r="E49" s="277"/>
      <c r="F49" s="277"/>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7" t="s">
        <v>420</v>
      </c>
      <c r="B50" s="277"/>
      <c r="C50" s="277"/>
      <c r="D50" s="277"/>
      <c r="E50" s="277"/>
      <c r="F50" s="277"/>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7" t="s">
        <v>421</v>
      </c>
      <c r="B51" s="277"/>
      <c r="C51" s="277"/>
      <c r="D51" s="277"/>
      <c r="E51" s="277"/>
      <c r="F51" s="277"/>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7" t="s">
        <v>422</v>
      </c>
      <c r="B52" s="277"/>
      <c r="C52" s="277"/>
      <c r="D52" s="277"/>
      <c r="E52" s="277"/>
      <c r="F52" s="277"/>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7" t="s">
        <v>276</v>
      </c>
      <c r="B53" s="277"/>
      <c r="C53" s="277"/>
      <c r="D53" s="277"/>
      <c r="E53" s="277"/>
      <c r="F53" s="277"/>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7" t="s">
        <v>423</v>
      </c>
      <c r="B54" s="277"/>
      <c r="C54" s="277"/>
      <c r="D54" s="277"/>
      <c r="E54" s="277"/>
      <c r="F54" s="277"/>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7" t="s">
        <v>431</v>
      </c>
      <c r="B55" s="277"/>
      <c r="C55" s="277"/>
      <c r="D55" s="277"/>
      <c r="E55" s="277"/>
      <c r="F55" s="277"/>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7" t="s">
        <v>424</v>
      </c>
      <c r="B56" s="277"/>
      <c r="C56" s="277"/>
      <c r="D56" s="277"/>
      <c r="E56" s="277"/>
      <c r="F56" s="277"/>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7" t="s">
        <v>432</v>
      </c>
      <c r="B57" s="277"/>
      <c r="C57" s="277"/>
      <c r="D57" s="277"/>
      <c r="E57" s="277"/>
      <c r="F57" s="277"/>
      <c r="G57" s="6">
        <v>49</v>
      </c>
      <c r="H57" s="33"/>
      <c r="I57" s="33"/>
      <c r="J57" s="33"/>
      <c r="K57" s="33"/>
      <c r="L57" s="33"/>
      <c r="M57" s="33"/>
      <c r="N57" s="33"/>
      <c r="O57" s="33"/>
      <c r="P57" s="33"/>
      <c r="Q57" s="33"/>
      <c r="R57" s="33"/>
      <c r="S57" s="33"/>
      <c r="T57" s="33"/>
      <c r="U57" s="33">
        <f>V36</f>
        <v>4985294</v>
      </c>
      <c r="V57" s="33">
        <f>-U57</f>
        <v>-4985294</v>
      </c>
      <c r="W57" s="37">
        <f t="shared" si="16"/>
        <v>0</v>
      </c>
      <c r="X57" s="33"/>
      <c r="Y57" s="37">
        <f t="shared" si="17"/>
        <v>0</v>
      </c>
    </row>
    <row r="58" spans="1:25" ht="12.75" customHeight="1" x14ac:dyDescent="0.2">
      <c r="A58" s="277" t="s">
        <v>426</v>
      </c>
      <c r="B58" s="277"/>
      <c r="C58" s="277"/>
      <c r="D58" s="277"/>
      <c r="E58" s="277"/>
      <c r="F58" s="277"/>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78" t="s">
        <v>433</v>
      </c>
      <c r="B59" s="278"/>
      <c r="C59" s="278"/>
      <c r="D59" s="278"/>
      <c r="E59" s="278"/>
      <c r="F59" s="278"/>
      <c r="G59" s="8">
        <v>51</v>
      </c>
      <c r="H59" s="36">
        <f>SUM(H39:H58)</f>
        <v>14814630</v>
      </c>
      <c r="I59" s="36">
        <f t="shared" ref="I59:Y59" si="18">SUM(I39:I58)</f>
        <v>-33895</v>
      </c>
      <c r="J59" s="36">
        <f t="shared" si="18"/>
        <v>0</v>
      </c>
      <c r="K59" s="36">
        <f t="shared" si="18"/>
        <v>191958</v>
      </c>
      <c r="L59" s="36">
        <f t="shared" si="18"/>
        <v>483564</v>
      </c>
      <c r="M59" s="36">
        <f t="shared" si="18"/>
        <v>0</v>
      </c>
      <c r="N59" s="36">
        <f t="shared" si="18"/>
        <v>0</v>
      </c>
      <c r="O59" s="36">
        <f t="shared" si="18"/>
        <v>2354765.6</v>
      </c>
      <c r="P59" s="36">
        <f t="shared" si="18"/>
        <v>133711</v>
      </c>
      <c r="Q59" s="36">
        <f t="shared" si="18"/>
        <v>0</v>
      </c>
      <c r="R59" s="36">
        <f t="shared" si="18"/>
        <v>0</v>
      </c>
      <c r="S59" s="36">
        <f t="shared" si="18"/>
        <v>0</v>
      </c>
      <c r="T59" s="36">
        <f t="shared" si="18"/>
        <v>-35169.58</v>
      </c>
      <c r="U59" s="36">
        <f t="shared" si="18"/>
        <v>-13198017.440000001</v>
      </c>
      <c r="V59" s="36">
        <f t="shared" si="18"/>
        <v>576189</v>
      </c>
      <c r="W59" s="36">
        <f t="shared" si="18"/>
        <v>4320607.58</v>
      </c>
      <c r="X59" s="36">
        <f t="shared" si="18"/>
        <v>63082</v>
      </c>
      <c r="Y59" s="36">
        <f t="shared" si="18"/>
        <v>4383689.58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-152256.25</v>
      </c>
      <c r="P61" s="37">
        <f t="shared" si="19"/>
        <v>0</v>
      </c>
      <c r="Q61" s="37">
        <f t="shared" si="19"/>
        <v>0</v>
      </c>
      <c r="R61" s="37">
        <f t="shared" si="19"/>
        <v>0</v>
      </c>
      <c r="S61" s="37">
        <f t="shared" ref="S61:T61" si="20">SUM(S41:S49)</f>
        <v>0</v>
      </c>
      <c r="T61" s="37">
        <f t="shared" si="20"/>
        <v>0</v>
      </c>
      <c r="U61" s="37">
        <f t="shared" si="19"/>
        <v>82117</v>
      </c>
      <c r="V61" s="37">
        <f t="shared" si="19"/>
        <v>0</v>
      </c>
      <c r="W61" s="37">
        <f t="shared" si="19"/>
        <v>-70139.25</v>
      </c>
      <c r="X61" s="37">
        <f t="shared" si="19"/>
        <v>0</v>
      </c>
      <c r="Y61" s="37">
        <f t="shared" si="19"/>
        <v>-70139.25</v>
      </c>
    </row>
    <row r="62" spans="1:25" ht="27.75" customHeight="1" x14ac:dyDescent="0.2">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-152256.25</v>
      </c>
      <c r="P62" s="37">
        <f t="shared" si="21"/>
        <v>0</v>
      </c>
      <c r="Q62" s="37">
        <f t="shared" si="21"/>
        <v>0</v>
      </c>
      <c r="R62" s="37">
        <f t="shared" si="21"/>
        <v>0</v>
      </c>
      <c r="S62" s="37">
        <f t="shared" ref="S62:T62" si="22">S40+S61</f>
        <v>0</v>
      </c>
      <c r="T62" s="37">
        <f t="shared" si="22"/>
        <v>0</v>
      </c>
      <c r="U62" s="37">
        <f t="shared" si="21"/>
        <v>82117</v>
      </c>
      <c r="V62" s="37">
        <f t="shared" si="21"/>
        <v>576189</v>
      </c>
      <c r="W62" s="37">
        <f t="shared" si="21"/>
        <v>506049.75</v>
      </c>
      <c r="X62" s="37">
        <f t="shared" si="21"/>
        <v>0</v>
      </c>
      <c r="Y62" s="37">
        <f t="shared" si="21"/>
        <v>506049.75</v>
      </c>
    </row>
    <row r="63" spans="1:25" ht="29.25" customHeight="1" x14ac:dyDescent="0.2">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4985294</v>
      </c>
      <c r="V63" s="38">
        <f t="shared" si="23"/>
        <v>-4985294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463</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2023-04-27T16:27:39Z</cp:lastPrinted>
  <dcterms:created xsi:type="dcterms:W3CDTF">2008-10-17T11:51:54Z</dcterms:created>
  <dcterms:modified xsi:type="dcterms:W3CDTF">2024-07-25T15:45:51Z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