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4-2024\"/>
    </mc:Choice>
  </mc:AlternateContent>
  <xr:revisionPtr revIDLastSave="0" documentId="13_ncr:1_{C2862768-809C-418E-B796-4D0B324BADAF}" xr6:coauthVersionLast="47" xr6:coauthVersionMax="47" xr10:uidLastSave="{00000000-0000-0000-0000-000000000000}"/>
  <bookViews>
    <workbookView xWindow="-120" yWindow="-120" windowWidth="20730" windowHeight="1116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60047679" localSheetId="6">Bilješke!$A$5</definedName>
    <definedName name="_Hlk181031889" localSheetId="6">Bilješke!$A$10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12" i="20"/>
  <c r="I15" i="20"/>
  <c r="I14" i="20"/>
  <c r="I13" i="20"/>
  <c r="H17" i="20"/>
  <c r="I23" i="20"/>
  <c r="I10" i="20" l="1"/>
  <c r="I8" i="20"/>
  <c r="T41" i="22" l="1"/>
  <c r="H132" i="18"/>
  <c r="H110" i="18" l="1"/>
  <c r="I132" i="18" l="1"/>
  <c r="K13" i="26"/>
  <c r="H36" i="26" l="1"/>
  <c r="I13" i="26"/>
  <c r="I10" i="26"/>
  <c r="I98" i="18" l="1"/>
  <c r="I38" i="18" l="1"/>
  <c r="H23" i="20" l="1"/>
  <c r="H12" i="20"/>
  <c r="H93" i="18" l="1"/>
  <c r="H78" i="18"/>
  <c r="H47" i="18" l="1"/>
  <c r="H17" i="18"/>
  <c r="I78" i="18" l="1"/>
  <c r="O42" i="22" l="1"/>
  <c r="A2" i="20" l="1"/>
  <c r="A4" i="20"/>
  <c r="A4" i="26"/>
  <c r="V11" i="22" l="1"/>
  <c r="U28" i="22" l="1"/>
  <c r="V28" i="22"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K66" i="26" s="1"/>
  <c r="H62" i="26"/>
  <c r="H64" i="26"/>
  <c r="I51" i="21"/>
  <c r="I53" i="21" s="1"/>
  <c r="H51" i="21"/>
  <c r="H53" i="21" s="1"/>
  <c r="H68" i="26" l="1"/>
  <c r="I66" i="26"/>
  <c r="J67" i="26"/>
  <c r="I67" i="26"/>
  <c r="I68" i="26"/>
  <c r="J66" i="26"/>
  <c r="J68" i="26"/>
  <c r="K67" i="26"/>
  <c r="K68" i="26"/>
  <c r="H66" i="26"/>
  <c r="H67" i="26"/>
  <c r="I85" i="18"/>
  <c r="H85" i="18"/>
  <c r="I95" i="18" l="1"/>
  <c r="V40" i="22"/>
  <c r="W40" i="22" s="1"/>
  <c r="H54" i="20"/>
  <c r="H48" i="20"/>
  <c r="H41" i="20"/>
  <c r="H35" i="20"/>
  <c r="H19" i="20"/>
  <c r="I9" i="20"/>
  <c r="H117" i="18"/>
  <c r="H105" i="18"/>
  <c r="H98" i="18"/>
  <c r="H94" i="18"/>
  <c r="H91" i="18"/>
  <c r="H60" i="18"/>
  <c r="H53" i="18"/>
  <c r="H45" i="18"/>
  <c r="H38" i="18"/>
  <c r="H27" i="18"/>
  <c r="H10" i="18"/>
  <c r="H63" i="22"/>
  <c r="H61" i="22"/>
  <c r="H62" i="22" s="1"/>
  <c r="H34" i="22"/>
  <c r="H32" i="22"/>
  <c r="H33" i="22" s="1"/>
  <c r="K10" i="22"/>
  <c r="H42" i="20" l="1"/>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4" i="18"/>
  <c r="I91" i="18"/>
  <c r="I60" i="18"/>
  <c r="I53" i="18"/>
  <c r="I45" i="18"/>
  <c r="I27" i="18"/>
  <c r="I17" i="18"/>
  <c r="I10" i="18"/>
  <c r="H57" i="20" l="1"/>
  <c r="H59" i="20" s="1"/>
  <c r="I58"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<sst xmlns="http://schemas.openxmlformats.org/spreadsheetml/2006/main" count="528" uniqueCount="464">
  <si>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</si>
  <si>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</si>
  <si>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</si>
  <si>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</si>
  <si>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</si>
  <si>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</si>
  <si>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</si>
  <si>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</si>
  <si>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</si>
  <si>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</si>
  <si>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</si>
  <si>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</si>
  <si>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</si>
  <si>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</si>
  <si>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</si>
  <si>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</si>
  <si>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</si>
  <si>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</si>
  <si>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</si>
  <si>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</si>
  <si>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</si>
  <si>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</si>
  <si>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</si>
  <si>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</si>
  <si>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</si>
  <si>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</si>
  <si>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</si>
  <si>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</si>
  <si>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</si>
  <si>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</si>
  <si>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</si>
  <si>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</si>
  <si>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</si>
  <si>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</si>
  <si>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</si>
  <si>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</si>
  <si>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</si>
  <si>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</si>
  <si>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</si>
  <si>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</si>
  <si>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</si>
  <si>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</si>
  <si>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</si>
  <si>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</si>
  <si>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</si>
  <si>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</si>
  <si>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</si>
  <si>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</si>
  <si>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</si>
  <si>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</si>
  <si>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</si>
  <si>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</si>
  <si>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</si>
  <si>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</si>
  <si>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</si>
  <si>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</si>
  <si>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</si>
  <si>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</si>
  <si>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</si>
  <si>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</si>
  <si>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</si>
  <si>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</si>
  <si>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</si>
  <si>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</si>
  <si>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</si>
  <si>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</si>
  <si>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</si>
  <si>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</si>
  <si>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</si>
  <si>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</si>
  <si>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</si>
  <si>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</si>
  <si>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</si>
  <si>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</si>
  <si>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</si>
  <si>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</si>
  <si>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</si>
  <si>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</si>
  <si>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</si>
  <si>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</si>
  <si>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</si>
  <si>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</si>
  <si>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</si>
  <si>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</si>
  <si>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</si>
  <si>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</si>
  <si>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</si>
  <si>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</si>
  <si>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</si>
  <si>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</si>
  <si>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</si>
  <si>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</si>
  <si>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</si>
  <si>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</si>
  <si>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</si>
  <si>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</si>
  <si>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</si>
  <si>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</si>
  <si>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</si>
  <si>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</si>
  <si>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</si>
  <si>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</si>
  <si>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</si>
  <si>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</si>
  <si>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</si>
  <si>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</si>
  <si>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</si>
  <si>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</si>
  <si>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</si>
  <si>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</si>
  <si>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</si>
  <si>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</si>
  <si>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</si>
  <si>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</si>
  <si>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</si>
  <si>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</si>
  <si>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</si>
  <si>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</si>
  <si>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</si>
  <si>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</si>
  <si>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</si>
  <si>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</si>
  <si>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</si>
  <si>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</si>
  <si>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</si>
  <si>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</si>
  <si>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</si>
  <si>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</si>
  <si>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</si>
  <si>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</si>
  <si>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</si>
  <si>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</si>
  <si>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</si>
  <si>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</si>
  <si>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</si>
  <si>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</si>
  <si>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</si>
  <si>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</si>
  <si>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</si>
  <si>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</si>
  <si>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</si>
  <si>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</si>
  <si>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</si>
  <si>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</si>
  <si>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</si>
  <si>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</si>
  <si>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</si>
  <si>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</si>
  <si>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</si>
  <si>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</si>
  <si>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</si>
  <si>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</si>
  <si>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</si>
  <si>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</si>
  <si>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</si>
  <si>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</si>
  <si>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</si>
  <si>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</si>
  <si>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</si>
  <si>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</si>
  <si>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</si>
  <si>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</si>
  <si>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</si>
  <si>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</si>
  <si>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</si>
  <si>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</si>
  <si>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</si>
  <si>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</si>
  <si>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</si>
  <si>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</si>
  <si>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</si>
  <si>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</si>
  <si>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</si>
  <si>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</si>
  <si>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</si>
  <si>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</si>
  <si>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</si>
  <si>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</si>
  <si>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</si>
  <si>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</si>
  <si>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</si>
  <si>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</si>
  <si>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</si>
  <si>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</si>
  <si>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</si>
  <si>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</si>
  <si>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</si>
  <si>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</si>
  <si>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</si>
  <si>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</si>
  <si>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</si>
  <si>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</si>
  <si>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</si>
  <si>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</si>
  <si>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</si>
  <si>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</si>
  <si>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</si>
  <si>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</si>
  <si>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</si>
  <si>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</si>
  <si>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</si>
  <si>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</si>
  <si>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</si>
  <si>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</si>
  <si>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</si>
  <si>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</si>
  <si>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</si>
  <si>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</si>
  <si>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</si>
  <si>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</si>
  <si>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</si>
  <si>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</si>
  <si>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</si>
  <si>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</si>
  <si>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</si>
  <si>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</si>
  <si>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</si>
  <si>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</si>
  <si>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</si>
  <si>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</si>
  <si>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</si>
  <si>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</si>
  <si>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</si>
  <si>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</si>
  <si>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</si>
  <si>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</si>
  <si>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</si>
  <si>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</si>
  <si>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</si>
  <si>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</si>
  <si>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</si>
  <si>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</si>
  <si>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</si>
  <si>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</si>
  <si>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</si>
  <si>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</si>
  <si>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</si>
  <si>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</si>
  <si>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</si>
  <si>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</si>
  <si>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</si>
  <si>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</si>
  <si>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</si>
  <si>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</si>
  <si>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</si>
  <si>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</si>
  <si>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</si>
  <si>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</si>
  <si>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</si>
  <si>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</si>
  <si>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</si>
  <si>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</si>
  <si>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</si>
  <si>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</si>
  <si>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</si>
  <si>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</si>
  <si>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</si>
  <si>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</si>
  <si>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</si>
  <si>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</si>
  <si>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</si>
  <si>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</si>
  <si>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</si>
  <si>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</si>
  <si>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</si>
  <si>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</si>
  <si>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</si>
  <si>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</si>
  <si>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</si>
  <si>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</si>
  <si>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</si>
  <si>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</si>
  <si>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</si>
  <si>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</si>
  <si>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</si>
  <si>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</si>
  <si>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</si>
  <si>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</si>
  <si>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</si>
  <si>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</si>
  <si>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</si>
  <si>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</si>
  <si>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</si>
  <si>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</si>
  <si>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</si>
  <si>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</si>
  <si>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</si>
  <si>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</si>
  <si>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</si>
  <si>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</si>
  <si>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</si>
  <si>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</si>
  <si>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</si>
  <si>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</si>
  <si>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</si>
  <si>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</si>
  <si>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</si>
  <si>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</si>
  <si>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</si>
  <si>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</si>
  <si>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</si>
  <si>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</si>
  <si>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</si>
  <si>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</si>
  <si>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</si>
  <si>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</si>
  <si>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</si>
  <si>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</si>
  <si>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</si>
  <si>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</si>
  <si>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</si>
  <si>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</si>
  <si>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</si>
  <si>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</si>
  <si>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</si>
  <si>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</si>
  <si>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</si>
  <si>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</si>
  <si>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</si>
  <si>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</si>
  <si>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</si>
  <si>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</si>
  <si>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</si>
  <si>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</si>
  <si>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</si>
  <si>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</si>
  <si>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</si>
  <si>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</si>
  <si>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</si>
  <si>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</si>
  <si>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</si>
  <si>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</si>
  <si>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</si>
  <si>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</si>
  <si>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</si>
  <si>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</si>
  <si>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</si>
  <si>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</si>
  <si>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</si>
  <si>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</si>
  <si>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</si>
  <si>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</si>
  <si>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</si>
  <si>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</si>
  <si>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</si>
  <si>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</si>
  <si>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</si>
  <si>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</si>
  <si>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</si>
  <si>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</si>
  <si>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</si>
  <si>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</si>
  <si>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</si>
  <si>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</si>
  <si>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</si>
  <si>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</si>
  <si>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</si>
  <si>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</si>
  <si>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</si>
  <si>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</si>
  <si>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</si>
  <si>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</si>
  <si>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</si>
  <si>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</si>
  <si>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</si>
  <si>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</si>
  <si>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</si>
  <si>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</si>
  <si>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</si>
  <si>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</si>
  <si>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</si>
  <si>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</si>
  <si>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</si>
  <si>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</si>
  <si>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</si>
  <si>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</si>
  <si>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</si>
  <si>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</si>
  <si>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</si>
  <si>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</si>
  <si>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</si>
  <si>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</si>
  <si>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</si>
  <si>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</si>
  <si>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</si>
  <si>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</si>
  <si>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</si>
  <si>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</si>
  <si>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</si>
  <si>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</si>
  <si>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</si>
  <si>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</si>
  <si>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</si>
  <si>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</si>
  <si>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</si>
  <si>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</si>
  <si>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</si>
  <si>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</si>
  <si>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</si>
  <si>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</si>
  <si>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</si>
  <si>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</si>
  <si>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</si>
  <si>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</si>
  <si>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</si>
  <si>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</si>
  <si>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</si>
  <si>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</si>
  <si>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</si>
  <si>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</si>
  <si>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</si>
  <si>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</si>
  <si>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</si>
  <si>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</si>
  <si>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</si>
  <si>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</si>
  <si>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</si>
  <si>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</si>
  <si>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</si>
  <si>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</si>
  <si>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</si>
  <si>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</si>
  <si>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</si>
  <si>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</si>
  <si>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</si>
  <si>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</si>
  <si>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</si>
  <si>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</si>
  <si>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</si>
  <si>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</si>
  <si>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</si>
  <si>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</si>
  <si>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</si>
  <si>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</si>
  <si>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</si>
  <si>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</si>
  <si>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</si>
  <si>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</si>
  <si>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</si>
  <si>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</si>
  <si>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</si>
  <si>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</si>
  <si>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</si>
  <si>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</si>
  <si>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</si>
  <si>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</si>
  <si>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</si>
  <si>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</si>
  <si>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</si>
  <si>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</si>
  <si>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</si>
  <si>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</si>
  <si>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</si>
  <si>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</si>
  <si>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</si>
  <si>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</si>
  <si>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</si>
  <si>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</si>
  <si>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</si>
  <si>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</si>
  <si>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</si>
  <si>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31.12.2024 </t>
  </si>
  <si>
    <t>u razdoblju 01.01.2024 do 31.12.2024</t>
  </si>
  <si>
    <t xml:space="preserve">"BILJEŠKE UZ FINANCIJSKE IZVJEŠTAJE - TFI
(koji se sastavljaju za tromjesečna razdoblja)
Naziv izdavatelja:   INSTITUT IGH, d.d.
OIB:  79766124714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Obveze temeljem pred-stečajne nagodbe na dan 31.12.2023. iznosile su 39 tis eur, a koje su u cijelosti namirene dana 15.02.2024. Revizija podmirenja obveza po pred-stečajnoj nagodbi odrađena je tijekom lipnja 2024.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31.12.2024.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Imovina s pravom korištenja provodi se sukladno MRSF-16.
Potraživanja I obveze za kamate na dane i primljene kredite unutar grupe su iskazane unutar pozicije potraživanja odnosno obveza unutar grupe i na dan 31.12.2024. nisu značajne.
Rezervacije po sudskim sporovima na dan 31.12.2024. iznose 248 tis eur doku su prethodnu godinu iznosile 904 tis eur. Razlog smanjenja je rješavanje i nova evaluacija sudskih predmeta.
Prihodi od prodaje usluga od povezanih strana na dan 31.12.2024. nisu značajni.
Troškovi zaposlenika u tekućem periodu su iznosili 10,6 mln eur i nema značajnog odstupanja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3,4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347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Stečaj društva Marterra d.o.o. Zagreb bilježi se u događaje koji su nastupili nakon datuma bilance.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</si>
</sst>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29" sqref="E29:F2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45657</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451</v>
      </c>
      <c r="D15" s="146"/>
      <c r="E15" s="163"/>
      <c r="F15" s="164"/>
      <c r="G15" s="114" t="s">
        <v>334</v>
      </c>
      <c r="H15" s="155" t="s">
        <v>454</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335</v>
      </c>
      <c r="C17" s="145" t="s">
        <v>452</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455</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456</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458</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459</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347</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337</v>
      </c>
      <c r="D31" s="170" t="s">
        <v>336</v>
      </c>
      <c r="E31" s="171"/>
      <c r="F31" s="171"/>
      <c r="G31" s="171"/>
      <c r="H31" s="111"/>
      <c r="I31" s="122" t="s">
        <v>337</v>
      </c>
      <c r="J31" s="123" t="s">
        <v>338</v>
      </c>
    </row>
    <row r="32" spans="1:10" x14ac:dyDescent="0.25">
      <c r="A32" s="152"/>
      <c r="B32" s="159"/>
      <c r="C32" s="124"/>
      <c r="D32" s="97"/>
      <c r="E32" s="164"/>
      <c r="F32" s="164"/>
      <c r="G32" s="164"/>
      <c r="H32" s="164"/>
      <c r="I32" s="120"/>
      <c r="J32" s="121"/>
    </row>
    <row r="33" spans="1:10" x14ac:dyDescent="0.25">
      <c r="A33" s="152" t="s">
        <v>326</v>
      </c>
      <c r="B33" s="159"/>
      <c r="C33" s="40" t="s">
        <v>340</v>
      </c>
      <c r="D33" s="170" t="s">
        <v>339</v>
      </c>
      <c r="E33" s="171"/>
      <c r="F33" s="171"/>
      <c r="G33" s="171"/>
      <c r="H33" s="117"/>
      <c r="I33" s="122" t="s">
        <v>340</v>
      </c>
      <c r="J33" s="123" t="s">
        <v>341</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342</v>
      </c>
    </row>
    <row r="49" spans="1:10" x14ac:dyDescent="0.25">
      <c r="A49" s="126"/>
      <c r="B49" s="118"/>
      <c r="C49" s="118"/>
      <c r="D49" s="111"/>
      <c r="E49" s="149"/>
      <c r="F49" s="149"/>
      <c r="G49" s="176"/>
      <c r="H49" s="176"/>
      <c r="I49" s="111"/>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346</v>
      </c>
      <c r="B58" s="154"/>
      <c r="C58" s="185"/>
      <c r="D58" s="186"/>
      <c r="E58" s="186"/>
      <c r="F58" s="186"/>
      <c r="G58" s="186"/>
      <c r="H58" s="186"/>
      <c r="I58" s="186"/>
      <c r="J58" s="187"/>
    </row>
    <row r="59" spans="1:10" ht="14.45" customHeight="1" x14ac:dyDescent="0.25">
      <c r="A59" s="110"/>
      <c r="B59" s="111"/>
      <c r="C59" s="188" t="s">
        <v>347</v>
      </c>
      <c r="D59" s="188"/>
      <c r="E59" s="188"/>
      <c r="F59" s="188"/>
      <c r="G59" s="111"/>
      <c r="H59" s="111"/>
      <c r="I59" s="111"/>
      <c r="J59" s="113"/>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4" zoomScale="110" zoomScaleNormal="100" zoomScaleSheetLayoutView="110" workbookViewId="0">
      <selection activeCell="H105" sqref="H105"/>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9398711.5399999991</v>
      </c>
      <c r="I9" s="82">
        <f>I10+I17+I27+I38+I43</f>
        <v>9920836.7599999998</v>
      </c>
    </row>
    <row r="10" spans="1:9" ht="12.75" customHeight="1" x14ac:dyDescent="0.2">
      <c r="A10" s="191" t="s">
        <v>5</v>
      </c>
      <c r="B10" s="191"/>
      <c r="C10" s="191"/>
      <c r="D10" s="191"/>
      <c r="E10" s="191"/>
      <c r="F10" s="191"/>
      <c r="G10" s="12">
        <v>3</v>
      </c>
      <c r="H10" s="82">
        <f>H11+H12+H13+H14+H15+H16</f>
        <v>13250.76</v>
      </c>
      <c r="I10" s="82">
        <f>I11+I12+I13+I14+I15+I16</f>
        <v>29975</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8752.24</v>
      </c>
      <c r="I12" s="18">
        <v>23304</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6671</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6159066.79</v>
      </c>
      <c r="I17" s="82">
        <f>I18+I19+I20+I21+I22+I23+I24+I25+I26</f>
        <v>6608743.7599999998</v>
      </c>
    </row>
    <row r="18" spans="1:9" ht="12.75" customHeight="1" x14ac:dyDescent="0.2">
      <c r="A18" s="190" t="s">
        <v>13</v>
      </c>
      <c r="B18" s="190"/>
      <c r="C18" s="190"/>
      <c r="D18" s="190"/>
      <c r="E18" s="190"/>
      <c r="F18" s="190"/>
      <c r="G18" s="11">
        <v>11</v>
      </c>
      <c r="H18" s="18">
        <v>462105.11</v>
      </c>
      <c r="I18" s="18">
        <v>81434.759999999995</v>
      </c>
    </row>
    <row r="19" spans="1:9" ht="12.75" customHeight="1" x14ac:dyDescent="0.2">
      <c r="A19" s="190" t="s">
        <v>14</v>
      </c>
      <c r="B19" s="190"/>
      <c r="C19" s="190"/>
      <c r="D19" s="190"/>
      <c r="E19" s="190"/>
      <c r="F19" s="190"/>
      <c r="G19" s="11">
        <v>12</v>
      </c>
      <c r="H19" s="18">
        <v>219952.35</v>
      </c>
      <c r="I19" s="18">
        <v>455919</v>
      </c>
    </row>
    <row r="20" spans="1:9" ht="12.75" customHeight="1" x14ac:dyDescent="0.2">
      <c r="A20" s="190" t="s">
        <v>15</v>
      </c>
      <c r="B20" s="190"/>
      <c r="C20" s="190"/>
      <c r="D20" s="190"/>
      <c r="E20" s="190"/>
      <c r="F20" s="190"/>
      <c r="G20" s="11">
        <v>13</v>
      </c>
      <c r="H20" s="18">
        <v>4547206.58</v>
      </c>
      <c r="I20" s="18">
        <v>5164382</v>
      </c>
    </row>
    <row r="21" spans="1:9" ht="12.75" customHeight="1" x14ac:dyDescent="0.2">
      <c r="A21" s="190" t="s">
        <v>16</v>
      </c>
      <c r="B21" s="190"/>
      <c r="C21" s="190"/>
      <c r="D21" s="190"/>
      <c r="E21" s="190"/>
      <c r="F21" s="190"/>
      <c r="G21" s="11">
        <v>14</v>
      </c>
      <c r="H21" s="18">
        <v>775332.51</v>
      </c>
      <c r="I21" s="18">
        <v>695107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42261.03</v>
      </c>
      <c r="I23" s="18">
        <v>39391</v>
      </c>
    </row>
    <row r="24" spans="1:9" ht="12.75" customHeight="1" x14ac:dyDescent="0.2">
      <c r="A24" s="190" t="s">
        <v>19</v>
      </c>
      <c r="B24" s="190"/>
      <c r="C24" s="190"/>
      <c r="D24" s="190"/>
      <c r="E24" s="190"/>
      <c r="F24" s="190"/>
      <c r="G24" s="11">
        <v>17</v>
      </c>
      <c r="H24" s="18">
        <v>38937.699999999997</v>
      </c>
      <c r="I24" s="18">
        <v>53338</v>
      </c>
    </row>
    <row r="25" spans="1:9" ht="12.75" customHeight="1" x14ac:dyDescent="0.2">
      <c r="A25" s="190" t="s">
        <v>20</v>
      </c>
      <c r="B25" s="190"/>
      <c r="C25" s="190"/>
      <c r="D25" s="190"/>
      <c r="E25" s="190"/>
      <c r="F25" s="190"/>
      <c r="G25" s="11">
        <v>18</v>
      </c>
      <c r="H25" s="18">
        <v>40423.51</v>
      </c>
      <c r="I25" s="18">
        <v>40424</v>
      </c>
    </row>
    <row r="26" spans="1:9" ht="12.75" customHeight="1" x14ac:dyDescent="0.2">
      <c r="A26" s="190" t="s">
        <v>21</v>
      </c>
      <c r="B26" s="190"/>
      <c r="C26" s="190"/>
      <c r="D26" s="190"/>
      <c r="E26" s="190"/>
      <c r="F26" s="190"/>
      <c r="G26" s="11">
        <v>19</v>
      </c>
      <c r="H26" s="18">
        <v>32848</v>
      </c>
      <c r="I26" s="18">
        <v>78748</v>
      </c>
    </row>
    <row r="27" spans="1:9" ht="12.75" customHeight="1" x14ac:dyDescent="0.2">
      <c r="A27" s="191" t="s">
        <v>22</v>
      </c>
      <c r="B27" s="191"/>
      <c r="C27" s="191"/>
      <c r="D27" s="191"/>
      <c r="E27" s="191"/>
      <c r="F27" s="191"/>
      <c r="G27" s="12">
        <v>20</v>
      </c>
      <c r="H27" s="82">
        <f>SUM(H28:H37)</f>
        <v>3065453.83</v>
      </c>
      <c r="I27" s="82">
        <f>SUM(I28:I37)</f>
        <v>3173586</v>
      </c>
    </row>
    <row r="28" spans="1:9" ht="12.75" customHeight="1" x14ac:dyDescent="0.2">
      <c r="A28" s="190" t="s">
        <v>23</v>
      </c>
      <c r="B28" s="190"/>
      <c r="C28" s="190"/>
      <c r="D28" s="190"/>
      <c r="E28" s="190"/>
      <c r="F28" s="190"/>
      <c r="G28" s="11">
        <v>21</v>
      </c>
      <c r="H28" s="18">
        <v>1053042.68</v>
      </c>
      <c r="I28" s="18">
        <v>1053043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4313.49</v>
      </c>
      <c r="I30" s="18">
        <v>4313</v>
      </c>
    </row>
    <row r="31" spans="1:9" ht="24" customHeight="1" x14ac:dyDescent="0.2">
      <c r="A31" s="190" t="s">
        <v>26</v>
      </c>
      <c r="B31" s="190"/>
      <c r="C31" s="190"/>
      <c r="D31" s="190"/>
      <c r="E31" s="190"/>
      <c r="F31" s="190"/>
      <c r="G31" s="11">
        <v>24</v>
      </c>
      <c r="H31" s="18">
        <v>1990842.12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125388</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160940.16</v>
      </c>
      <c r="I38" s="82">
        <f>I39+I40+I41+I42</f>
        <v>108532</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115507.13</v>
      </c>
      <c r="I41" s="18">
        <v>108232</v>
      </c>
    </row>
    <row r="42" spans="1:9" ht="12.75" customHeight="1" x14ac:dyDescent="0.2">
      <c r="A42" s="190" t="s">
        <v>37</v>
      </c>
      <c r="B42" s="190"/>
      <c r="C42" s="190"/>
      <c r="D42" s="190"/>
      <c r="E42" s="190"/>
      <c r="F42" s="190"/>
      <c r="G42" s="11">
        <v>35</v>
      </c>
      <c r="H42" s="18">
        <v>45433.03</v>
      </c>
      <c r="I42" s="18">
        <v>300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9126828.6599999983</v>
      </c>
      <c r="I44" s="82">
        <f>I45+I53+I60+I70</f>
        <v>6965701</v>
      </c>
    </row>
    <row r="45" spans="1:9" ht="12.75" customHeight="1" x14ac:dyDescent="0.2">
      <c r="A45" s="191" t="s">
        <v>39</v>
      </c>
      <c r="B45" s="191"/>
      <c r="C45" s="191"/>
      <c r="D45" s="191"/>
      <c r="E45" s="191"/>
      <c r="F45" s="191"/>
      <c r="G45" s="12">
        <v>38</v>
      </c>
      <c r="H45" s="82">
        <f>SUM(H46:H52)</f>
        <v>1707902.95</v>
      </c>
      <c r="I45" s="82">
        <f>SUM(I46:I52)</f>
        <v>75619</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f>108256.06-H26</f>
        <v>75408.06</v>
      </c>
      <c r="I47" s="18">
        <v>75619</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3094922.25</v>
      </c>
      <c r="I53" s="82">
        <f>SUM(I54:I59)</f>
        <v>3154873</v>
      </c>
    </row>
    <row r="54" spans="1:9" ht="12.75" customHeight="1" x14ac:dyDescent="0.2">
      <c r="A54" s="190" t="s">
        <v>48</v>
      </c>
      <c r="B54" s="190"/>
      <c r="C54" s="190"/>
      <c r="D54" s="190"/>
      <c r="E54" s="190"/>
      <c r="F54" s="190"/>
      <c r="G54" s="11">
        <v>47</v>
      </c>
      <c r="H54" s="18">
        <v>25935.94</v>
      </c>
      <c r="I54" s="18">
        <v>15219</v>
      </c>
    </row>
    <row r="55" spans="1:9" ht="12.75" customHeight="1" x14ac:dyDescent="0.2">
      <c r="A55" s="190" t="s">
        <v>49</v>
      </c>
      <c r="B55" s="190"/>
      <c r="C55" s="190"/>
      <c r="D55" s="190"/>
      <c r="E55" s="190"/>
      <c r="F55" s="190"/>
      <c r="G55" s="11">
        <v>48</v>
      </c>
      <c r="H55" s="18">
        <v>687.7</v>
      </c>
      <c r="I55" s="18">
        <v>688</v>
      </c>
    </row>
    <row r="56" spans="1:9" ht="12.75" customHeight="1" x14ac:dyDescent="0.2">
      <c r="A56" s="190" t="s">
        <v>50</v>
      </c>
      <c r="B56" s="190"/>
      <c r="C56" s="190"/>
      <c r="D56" s="190"/>
      <c r="E56" s="190"/>
      <c r="F56" s="190"/>
      <c r="G56" s="11">
        <v>49</v>
      </c>
      <c r="H56" s="18">
        <v>1972833.14</v>
      </c>
      <c r="I56" s="18">
        <v>1985720</v>
      </c>
    </row>
    <row r="57" spans="1:9" ht="12.75" customHeight="1" x14ac:dyDescent="0.2">
      <c r="A57" s="190" t="s">
        <v>51</v>
      </c>
      <c r="B57" s="190"/>
      <c r="C57" s="190"/>
      <c r="D57" s="190"/>
      <c r="E57" s="190"/>
      <c r="F57" s="190"/>
      <c r="G57" s="11">
        <v>50</v>
      </c>
      <c r="H57" s="18">
        <v>178816.38</v>
      </c>
      <c r="I57" s="18">
        <v>143842</v>
      </c>
    </row>
    <row r="58" spans="1:9" ht="12.75" customHeight="1" x14ac:dyDescent="0.2">
      <c r="A58" s="190" t="s">
        <v>52</v>
      </c>
      <c r="B58" s="190"/>
      <c r="C58" s="190"/>
      <c r="D58" s="190"/>
      <c r="E58" s="190"/>
      <c r="F58" s="190"/>
      <c r="G58" s="11">
        <v>51</v>
      </c>
      <c r="H58" s="18">
        <v>88904.93</v>
      </c>
      <c r="I58" s="18">
        <v>112497</v>
      </c>
    </row>
    <row r="59" spans="1:9" ht="12.75" customHeight="1" x14ac:dyDescent="0.2">
      <c r="A59" s="190" t="s">
        <v>53</v>
      </c>
      <c r="B59" s="190"/>
      <c r="C59" s="190"/>
      <c r="D59" s="190"/>
      <c r="E59" s="190"/>
      <c r="F59" s="190"/>
      <c r="G59" s="11">
        <v>52</v>
      </c>
      <c r="H59" s="18">
        <v>827744.16</v>
      </c>
      <c r="I59" s="18">
        <v>896907</v>
      </c>
    </row>
    <row r="60" spans="1:9" ht="12.75" customHeight="1" x14ac:dyDescent="0.2">
      <c r="A60" s="191" t="s">
        <v>54</v>
      </c>
      <c r="B60" s="191"/>
      <c r="C60" s="191"/>
      <c r="D60" s="191"/>
      <c r="E60" s="191"/>
      <c r="F60" s="191"/>
      <c r="G60" s="12">
        <v>53</v>
      </c>
      <c r="H60" s="82">
        <f>SUM(H61:H69)</f>
        <v>3914454.9299999997</v>
      </c>
      <c r="I60" s="82">
        <f>SUM(I61:I69)</f>
        <v>3617624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19311.36</v>
      </c>
      <c r="I63" s="18">
        <v>81272</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3539</v>
      </c>
    </row>
    <row r="68" spans="1:9" ht="12.75" customHeight="1" x14ac:dyDescent="0.2">
      <c r="A68" s="190" t="s">
        <v>30</v>
      </c>
      <c r="B68" s="190"/>
      <c r="C68" s="190"/>
      <c r="D68" s="190"/>
      <c r="E68" s="190"/>
      <c r="F68" s="190"/>
      <c r="G68" s="11">
        <v>61</v>
      </c>
      <c r="H68" s="18">
        <v>3870257.04</v>
      </c>
      <c r="I68" s="18">
        <v>3511465</v>
      </c>
    </row>
    <row r="69" spans="1:9" ht="12.75" customHeight="1" x14ac:dyDescent="0.2">
      <c r="A69" s="190" t="s">
        <v>56</v>
      </c>
      <c r="B69" s="190"/>
      <c r="C69" s="190"/>
      <c r="D69" s="190"/>
      <c r="E69" s="190"/>
      <c r="F69" s="190"/>
      <c r="G69" s="11">
        <v>62</v>
      </c>
      <c r="H69" s="18">
        <v>21347.61</v>
      </c>
      <c r="I69" s="18">
        <v>21348</v>
      </c>
    </row>
    <row r="70" spans="1:9" ht="12.75" customHeight="1" x14ac:dyDescent="0.2">
      <c r="A70" s="190" t="s">
        <v>57</v>
      </c>
      <c r="B70" s="190"/>
      <c r="C70" s="190"/>
      <c r="D70" s="190"/>
      <c r="E70" s="190"/>
      <c r="F70" s="190"/>
      <c r="G70" s="11">
        <v>63</v>
      </c>
      <c r="H70" s="18">
        <v>409548.53</v>
      </c>
      <c r="I70" s="18">
        <v>117585</v>
      </c>
    </row>
    <row r="71" spans="1:9" ht="12.75" customHeight="1" x14ac:dyDescent="0.2">
      <c r="A71" s="206" t="s">
        <v>58</v>
      </c>
      <c r="B71" s="206"/>
      <c r="C71" s="206"/>
      <c r="D71" s="206"/>
      <c r="E71" s="206"/>
      <c r="F71" s="206"/>
      <c r="G71" s="11">
        <v>64</v>
      </c>
      <c r="H71" s="18">
        <v>1124654.93</v>
      </c>
      <c r="I71" s="18">
        <v>1875098</v>
      </c>
    </row>
    <row r="72" spans="1:9" ht="12.75" customHeight="1" x14ac:dyDescent="0.2">
      <c r="A72" s="192" t="s">
        <v>304</v>
      </c>
      <c r="B72" s="192"/>
      <c r="C72" s="192"/>
      <c r="D72" s="192"/>
      <c r="E72" s="192"/>
      <c r="F72" s="192"/>
      <c r="G72" s="12">
        <v>65</v>
      </c>
      <c r="H72" s="82">
        <f>H8+H9+H44+H71</f>
        <v>19650195.129999995</v>
      </c>
      <c r="I72" s="82">
        <f>I8+I9+I44+I71</f>
        <v>18761635.759999998</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5281777.8500000015</v>
      </c>
      <c r="I75" s="83">
        <f>I76+I77+I78+I84+I85+I91+I94+I97</f>
        <v>6173634.0500000007</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1" t="s">
        <v>63</v>
      </c>
      <c r="B78" s="191"/>
      <c r="C78" s="191"/>
      <c r="D78" s="191"/>
      <c r="E78" s="191"/>
      <c r="F78" s="191"/>
      <c r="G78" s="12">
        <v>70</v>
      </c>
      <c r="H78" s="83">
        <f>SUM(H79:H83)</f>
        <v>-208381.84</v>
      </c>
      <c r="I78" s="83">
        <f>SUM(I79:I83)</f>
        <v>-208381.84</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-400340</v>
      </c>
      <c r="I81" s="18">
        <v>-400340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1705823.87</v>
      </c>
      <c r="I84" s="43">
        <v>1419372</v>
      </c>
    </row>
    <row r="85" spans="1:9" ht="12.75" customHeight="1" x14ac:dyDescent="0.2">
      <c r="A85" s="191" t="s">
        <v>446</v>
      </c>
      <c r="B85" s="191"/>
      <c r="C85" s="191"/>
      <c r="D85" s="191"/>
      <c r="E85" s="191"/>
      <c r="F85" s="191"/>
      <c r="G85" s="12">
        <v>77</v>
      </c>
      <c r="H85" s="82">
        <f>H86+H87+H88+H89+H90</f>
        <v>94539.93</v>
      </c>
      <c r="I85" s="82">
        <f>I86+I87+I88+I89+I90</f>
        <v>34485</v>
      </c>
    </row>
    <row r="86" spans="1:9" ht="25.5" customHeight="1" x14ac:dyDescent="0.2">
      <c r="A86" s="190" t="s">
        <v>447</v>
      </c>
      <c r="B86" s="190"/>
      <c r="C86" s="190"/>
      <c r="D86" s="190"/>
      <c r="E86" s="190"/>
      <c r="F86" s="190"/>
      <c r="G86" s="11">
        <v>78</v>
      </c>
      <c r="H86" s="18">
        <v>133710.93</v>
      </c>
      <c r="I86" s="18">
        <v>133711</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-39171</v>
      </c>
      <c r="I90" s="18">
        <v>-99226</v>
      </c>
    </row>
    <row r="91" spans="1:9" ht="12.75" customHeight="1" x14ac:dyDescent="0.2">
      <c r="A91" s="191" t="s">
        <v>352</v>
      </c>
      <c r="B91" s="191"/>
      <c r="C91" s="191"/>
      <c r="D91" s="191"/>
      <c r="E91" s="191"/>
      <c r="F91" s="191"/>
      <c r="G91" s="12">
        <v>83</v>
      </c>
      <c r="H91" s="82">
        <f>H92-H93</f>
        <v>-17174719</v>
      </c>
      <c r="I91" s="82">
        <f>I92-I93</f>
        <v>-10742379</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f>14143272+3031447</f>
        <v>17174719</v>
      </c>
      <c r="I93" s="18">
        <v>10742379</v>
      </c>
    </row>
    <row r="94" spans="1:9" ht="12.75" customHeight="1" x14ac:dyDescent="0.2">
      <c r="A94" s="191" t="s">
        <v>353</v>
      </c>
      <c r="B94" s="191"/>
      <c r="C94" s="191"/>
      <c r="D94" s="191"/>
      <c r="E94" s="191"/>
      <c r="F94" s="191"/>
      <c r="G94" s="12">
        <v>86</v>
      </c>
      <c r="H94" s="82">
        <f>H95-H96</f>
        <v>6083780</v>
      </c>
      <c r="I94" s="82">
        <f>I95-I96</f>
        <v>889803</v>
      </c>
    </row>
    <row r="95" spans="1:9" ht="12.75" customHeight="1" x14ac:dyDescent="0.2">
      <c r="A95" s="190" t="s">
        <v>74</v>
      </c>
      <c r="B95" s="190"/>
      <c r="C95" s="190"/>
      <c r="D95" s="190"/>
      <c r="E95" s="190"/>
      <c r="F95" s="190"/>
      <c r="G95" s="11">
        <v>87</v>
      </c>
      <c r="H95" s="18">
        <v>6083780</v>
      </c>
      <c r="I95" s="18">
        <f>RDG!J66</f>
        <v>889803</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1324489</v>
      </c>
      <c r="I98" s="82">
        <f>SUM(I99:I104)</f>
        <v>631573</v>
      </c>
    </row>
    <row r="99" spans="1:9" ht="12.75" customHeight="1" x14ac:dyDescent="0.2">
      <c r="A99" s="190" t="s">
        <v>77</v>
      </c>
      <c r="B99" s="190"/>
      <c r="C99" s="190"/>
      <c r="D99" s="190"/>
      <c r="E99" s="190"/>
      <c r="F99" s="190"/>
      <c r="G99" s="11">
        <v>91</v>
      </c>
      <c r="H99" s="18">
        <v>85244</v>
      </c>
      <c r="I99" s="18">
        <v>78859</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904253</v>
      </c>
      <c r="I101" s="18">
        <v>248277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v>
      </c>
      <c r="I104" s="18">
        <v>304437</v>
      </c>
    </row>
    <row r="105" spans="1:9" ht="12.75" customHeight="1" x14ac:dyDescent="0.2">
      <c r="A105" s="192" t="s">
        <v>356</v>
      </c>
      <c r="B105" s="192"/>
      <c r="C105" s="192"/>
      <c r="D105" s="192"/>
      <c r="E105" s="192"/>
      <c r="F105" s="192"/>
      <c r="G105" s="12">
        <v>97</v>
      </c>
      <c r="H105" s="82">
        <f>SUM(H106:H116)</f>
        <v>2267880.3600000003</v>
      </c>
      <c r="I105" s="82">
        <f>SUM(I106:I116)</f>
        <v>2548687</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f>30899+1880621</f>
        <v>1911520</v>
      </c>
      <c r="I110" s="18">
        <v>2231719</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330091.27</v>
      </c>
      <c r="I116" s="18">
        <v>316968</v>
      </c>
    </row>
    <row r="117" spans="1:9" ht="12.75" customHeight="1" x14ac:dyDescent="0.2">
      <c r="A117" s="192" t="s">
        <v>357</v>
      </c>
      <c r="B117" s="192"/>
      <c r="C117" s="192"/>
      <c r="D117" s="192"/>
      <c r="E117" s="192"/>
      <c r="F117" s="192"/>
      <c r="G117" s="12">
        <v>109</v>
      </c>
      <c r="H117" s="82">
        <f>SUM(H118:H131)</f>
        <v>10359990.669999998</v>
      </c>
      <c r="I117" s="82">
        <f>SUM(I118:I131)</f>
        <v>9147566</v>
      </c>
    </row>
    <row r="118" spans="1:9" ht="12.75" customHeight="1" x14ac:dyDescent="0.2">
      <c r="A118" s="190" t="s">
        <v>83</v>
      </c>
      <c r="B118" s="190"/>
      <c r="C118" s="190"/>
      <c r="D118" s="190"/>
      <c r="E118" s="190"/>
      <c r="F118" s="190"/>
      <c r="G118" s="11">
        <v>110</v>
      </c>
      <c r="H118" s="18">
        <v>51080.79</v>
      </c>
      <c r="I118" s="18">
        <v>30041</v>
      </c>
    </row>
    <row r="119" spans="1:9" ht="22.15" customHeight="1" x14ac:dyDescent="0.2">
      <c r="A119" s="190" t="s">
        <v>84</v>
      </c>
      <c r="B119" s="190"/>
      <c r="C119" s="190"/>
      <c r="D119" s="190"/>
      <c r="E119" s="190"/>
      <c r="F119" s="190"/>
      <c r="G119" s="11">
        <v>111</v>
      </c>
      <c r="H119" s="18">
        <v>170709.04</v>
      </c>
      <c r="I119" s="18">
        <v>208784</v>
      </c>
    </row>
    <row r="120" spans="1:9" ht="12.75" customHeight="1" x14ac:dyDescent="0.2">
      <c r="A120" s="190" t="s">
        <v>85</v>
      </c>
      <c r="B120" s="190"/>
      <c r="C120" s="190"/>
      <c r="D120" s="190"/>
      <c r="E120" s="190"/>
      <c r="F120" s="190"/>
      <c r="G120" s="11">
        <v>112</v>
      </c>
      <c r="H120" s="18">
        <v>412055.12</v>
      </c>
      <c r="I120" s="18">
        <v>413840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3261576.1</v>
      </c>
      <c r="I122" s="18">
        <v>2046104</v>
      </c>
    </row>
    <row r="123" spans="1:9" ht="12.75" customHeight="1" x14ac:dyDescent="0.2">
      <c r="A123" s="190" t="s">
        <v>88</v>
      </c>
      <c r="B123" s="190"/>
      <c r="C123" s="190"/>
      <c r="D123" s="190"/>
      <c r="E123" s="190"/>
      <c r="F123" s="190"/>
      <c r="G123" s="11">
        <v>115</v>
      </c>
      <c r="H123" s="18">
        <v>9241.61</v>
      </c>
      <c r="I123" s="18">
        <v>0</v>
      </c>
    </row>
    <row r="124" spans="1:9" ht="12.75" customHeight="1" x14ac:dyDescent="0.2">
      <c r="A124" s="190" t="s">
        <v>89</v>
      </c>
      <c r="B124" s="190"/>
      <c r="C124" s="190"/>
      <c r="D124" s="190"/>
      <c r="E124" s="190"/>
      <c r="F124" s="190"/>
      <c r="G124" s="11">
        <v>116</v>
      </c>
      <c r="H124" s="18">
        <v>783334.06</v>
      </c>
      <c r="I124" s="18">
        <v>492802</v>
      </c>
    </row>
    <row r="125" spans="1:9" ht="12.75" customHeight="1" x14ac:dyDescent="0.2">
      <c r="A125" s="190" t="s">
        <v>90</v>
      </c>
      <c r="B125" s="190"/>
      <c r="C125" s="190"/>
      <c r="D125" s="190"/>
      <c r="E125" s="190"/>
      <c r="F125" s="190"/>
      <c r="G125" s="11">
        <v>117</v>
      </c>
      <c r="H125" s="18">
        <v>2849204.13</v>
      </c>
      <c r="I125" s="18">
        <v>4000962</v>
      </c>
    </row>
    <row r="126" spans="1:9" x14ac:dyDescent="0.2">
      <c r="A126" s="190" t="s">
        <v>91</v>
      </c>
      <c r="B126" s="190"/>
      <c r="C126" s="190"/>
      <c r="D126" s="190"/>
      <c r="E126" s="190"/>
      <c r="F126" s="190"/>
      <c r="G126" s="11">
        <v>118</v>
      </c>
      <c r="H126" s="18">
        <v>91003.86</v>
      </c>
      <c r="I126" s="18">
        <v>0</v>
      </c>
    </row>
    <row r="127" spans="1:9" x14ac:dyDescent="0.2">
      <c r="A127" s="190" t="s">
        <v>94</v>
      </c>
      <c r="B127" s="190"/>
      <c r="C127" s="190"/>
      <c r="D127" s="190"/>
      <c r="E127" s="190"/>
      <c r="F127" s="190"/>
      <c r="G127" s="11">
        <v>119</v>
      </c>
      <c r="H127" s="18">
        <v>817421.15</v>
      </c>
      <c r="I127" s="18">
        <v>690287</v>
      </c>
    </row>
    <row r="128" spans="1:9" x14ac:dyDescent="0.2">
      <c r="A128" s="190" t="s">
        <v>95</v>
      </c>
      <c r="B128" s="190"/>
      <c r="C128" s="190"/>
      <c r="D128" s="190"/>
      <c r="E128" s="190"/>
      <c r="F128" s="190"/>
      <c r="G128" s="11">
        <v>120</v>
      </c>
      <c r="H128" s="18">
        <v>1498146.53</v>
      </c>
      <c r="I128" s="18">
        <v>976257</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416218.28</v>
      </c>
      <c r="I131" s="18">
        <v>288489</v>
      </c>
    </row>
    <row r="132" spans="1:9" ht="22.15" customHeight="1" x14ac:dyDescent="0.2">
      <c r="A132" s="206" t="s">
        <v>99</v>
      </c>
      <c r="B132" s="206"/>
      <c r="C132" s="206"/>
      <c r="D132" s="206"/>
      <c r="E132" s="206"/>
      <c r="F132" s="206"/>
      <c r="G132" s="11">
        <v>124</v>
      </c>
      <c r="H132" s="18">
        <f>416056+1</f>
        <v>416057</v>
      </c>
      <c r="I132" s="18">
        <f>260175+1</f>
        <v>260176</v>
      </c>
    </row>
    <row r="133" spans="1:9" ht="12.75" customHeight="1" x14ac:dyDescent="0.2">
      <c r="A133" s="192" t="s">
        <v>358</v>
      </c>
      <c r="B133" s="192"/>
      <c r="C133" s="192"/>
      <c r="D133" s="192"/>
      <c r="E133" s="192"/>
      <c r="F133" s="192"/>
      <c r="G133" s="12">
        <v>125</v>
      </c>
      <c r="H133" s="82">
        <f>H75+H98+H105+H117+H132</f>
        <v>19650194.879999999</v>
      </c>
      <c r="I133" s="82">
        <f>I75+I98+I105+I117+I132</f>
        <v>18761636.050000001</v>
      </c>
    </row>
    <row r="134" spans="1:9" x14ac:dyDescent="0.2">
      <c r="A134" s="206" t="s">
        <v>100</v>
      </c>
      <c r="B134" s="206"/>
      <c r="C134" s="206"/>
      <c r="D134" s="206"/>
      <c r="E134" s="206"/>
      <c r="F134" s="206"/>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8" zoomScaleNormal="100" zoomScaleSheetLayoutView="110" workbookViewId="0">
      <selection activeCell="J24" sqref="J2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tr">
        <f>Bilanca!A4</f>
        <v>Obveznik: INSTITUT IGH d.d.</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27643421.41</v>
      </c>
      <c r="I8" s="48">
        <f>SUM(I9:I13)</f>
        <v>8216363</v>
      </c>
      <c r="J8" s="48">
        <f>SUM(J9:J13)</f>
        <v>20093402</v>
      </c>
      <c r="K8" s="48">
        <f>SUM(K9:K13)</f>
        <v>5132148</v>
      </c>
    </row>
    <row r="9" spans="1:11" ht="12.75" customHeight="1" x14ac:dyDescent="0.2">
      <c r="A9" s="190" t="s">
        <v>115</v>
      </c>
      <c r="B9" s="190"/>
      <c r="C9" s="190"/>
      <c r="D9" s="190"/>
      <c r="E9" s="190"/>
      <c r="F9" s="190"/>
      <c r="G9" s="11">
        <v>2</v>
      </c>
      <c r="H9" s="49">
        <v>1884.65</v>
      </c>
      <c r="I9" s="49">
        <v>374</v>
      </c>
      <c r="J9" s="49">
        <v>796</v>
      </c>
      <c r="K9" s="49">
        <v>199</v>
      </c>
    </row>
    <row r="10" spans="1:11" ht="12.75" customHeight="1" x14ac:dyDescent="0.2">
      <c r="A10" s="190" t="s">
        <v>116</v>
      </c>
      <c r="B10" s="190"/>
      <c r="C10" s="190"/>
      <c r="D10" s="190"/>
      <c r="E10" s="190"/>
      <c r="F10" s="190"/>
      <c r="G10" s="11">
        <v>3</v>
      </c>
      <c r="H10" s="49">
        <v>16305125.25</v>
      </c>
      <c r="I10" s="49">
        <f>4608731</f>
        <v>4608731</v>
      </c>
      <c r="J10" s="49">
        <v>17154726</v>
      </c>
      <c r="K10" s="49">
        <v>4181514</v>
      </c>
    </row>
    <row r="11" spans="1:11" ht="12.75" customHeight="1" x14ac:dyDescent="0.2">
      <c r="A11" s="190" t="s">
        <v>117</v>
      </c>
      <c r="B11" s="190"/>
      <c r="C11" s="190"/>
      <c r="D11" s="190"/>
      <c r="E11" s="190"/>
      <c r="F11" s="190"/>
      <c r="G11" s="11">
        <v>4</v>
      </c>
      <c r="H11" s="49">
        <v>24376.1</v>
      </c>
      <c r="I11" s="49">
        <v>0</v>
      </c>
      <c r="J11" s="49">
        <v>0</v>
      </c>
      <c r="K11" s="49">
        <v>0</v>
      </c>
    </row>
    <row r="12" spans="1:11" ht="12.75" customHeight="1" x14ac:dyDescent="0.2">
      <c r="A12" s="190" t="s">
        <v>118</v>
      </c>
      <c r="B12" s="190"/>
      <c r="C12" s="190"/>
      <c r="D12" s="190"/>
      <c r="E12" s="190"/>
      <c r="F12" s="190"/>
      <c r="G12" s="11">
        <v>5</v>
      </c>
      <c r="H12" s="49">
        <v>386473.96</v>
      </c>
      <c r="I12" s="49">
        <v>121300</v>
      </c>
      <c r="J12" s="49">
        <v>23675</v>
      </c>
      <c r="K12" s="49">
        <v>19152</v>
      </c>
    </row>
    <row r="13" spans="1:11" ht="12.75" customHeight="1" x14ac:dyDescent="0.2">
      <c r="A13" s="190" t="s">
        <v>119</v>
      </c>
      <c r="B13" s="190"/>
      <c r="C13" s="190"/>
      <c r="D13" s="190"/>
      <c r="E13" s="190"/>
      <c r="F13" s="190"/>
      <c r="G13" s="11">
        <v>6</v>
      </c>
      <c r="H13" s="49">
        <v>10925561.449999999</v>
      </c>
      <c r="I13" s="49">
        <f>833458+3000000-347500</f>
        <v>3485958</v>
      </c>
      <c r="J13" s="49">
        <v>2914205</v>
      </c>
      <c r="K13" s="49">
        <f>1187808-256525</f>
        <v>931283</v>
      </c>
    </row>
    <row r="14" spans="1:11" ht="12.75" customHeight="1" x14ac:dyDescent="0.2">
      <c r="A14" s="224" t="s">
        <v>360</v>
      </c>
      <c r="B14" s="224"/>
      <c r="C14" s="224"/>
      <c r="D14" s="224"/>
      <c r="E14" s="224"/>
      <c r="F14" s="224"/>
      <c r="G14" s="12">
        <v>7</v>
      </c>
      <c r="H14" s="48">
        <f>H15+H16+H20+H24+H25+H26+H29+H36</f>
        <v>20904575.129999999</v>
      </c>
      <c r="I14" s="48">
        <f>I15+I16+I20+I24+I25+I26+I29+I36</f>
        <v>6406179</v>
      </c>
      <c r="J14" s="48">
        <f>J15+J16+J20+J24+J25+J26+J29+J36</f>
        <v>18918527</v>
      </c>
      <c r="K14" s="48">
        <f>K15+K16+K20+K24+K25+K26+K29+K36</f>
        <v>4496424</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5591015.96</v>
      </c>
      <c r="I16" s="48">
        <f>SUM(I17:I19)</f>
        <v>1798623</v>
      </c>
      <c r="J16" s="48">
        <f>SUM(J17:J19)</f>
        <v>5059301</v>
      </c>
      <c r="K16" s="48">
        <f>SUM(K17:K19)</f>
        <v>1227502</v>
      </c>
    </row>
    <row r="17" spans="1:11" ht="12.75" customHeight="1" x14ac:dyDescent="0.2">
      <c r="A17" s="225" t="s">
        <v>120</v>
      </c>
      <c r="B17" s="225"/>
      <c r="C17" s="225"/>
      <c r="D17" s="225"/>
      <c r="E17" s="225"/>
      <c r="F17" s="225"/>
      <c r="G17" s="11">
        <v>10</v>
      </c>
      <c r="H17" s="49">
        <v>719571.86</v>
      </c>
      <c r="I17" s="49">
        <v>168549</v>
      </c>
      <c r="J17" s="49">
        <v>636926</v>
      </c>
      <c r="K17" s="49">
        <v>185940</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4871444.0999999996</v>
      </c>
      <c r="I19" s="49">
        <v>1630074</v>
      </c>
      <c r="J19" s="49">
        <v>4422375</v>
      </c>
      <c r="K19" s="49">
        <v>1041562</v>
      </c>
    </row>
    <row r="20" spans="1:11" ht="12.75" customHeight="1" x14ac:dyDescent="0.2">
      <c r="A20" s="191" t="s">
        <v>441</v>
      </c>
      <c r="B20" s="191"/>
      <c r="C20" s="191"/>
      <c r="D20" s="191"/>
      <c r="E20" s="191"/>
      <c r="F20" s="191"/>
      <c r="G20" s="12">
        <v>13</v>
      </c>
      <c r="H20" s="48">
        <f>SUM(H21:H23)</f>
        <v>10657592.32</v>
      </c>
      <c r="I20" s="48">
        <f>SUM(I21:I23)</f>
        <v>2653491</v>
      </c>
      <c r="J20" s="48">
        <f>SUM(J21:J23)</f>
        <v>10652342</v>
      </c>
      <c r="K20" s="48">
        <f>SUM(K21:K23)</f>
        <v>2664914</v>
      </c>
    </row>
    <row r="21" spans="1:11" ht="12.75" customHeight="1" x14ac:dyDescent="0.2">
      <c r="A21" s="225" t="s">
        <v>105</v>
      </c>
      <c r="B21" s="225"/>
      <c r="C21" s="225"/>
      <c r="D21" s="225"/>
      <c r="E21" s="225"/>
      <c r="F21" s="225"/>
      <c r="G21" s="11">
        <v>14</v>
      </c>
      <c r="H21" s="49">
        <v>6833453.4299999997</v>
      </c>
      <c r="I21" s="49">
        <v>1656543</v>
      </c>
      <c r="J21" s="49">
        <v>6722604</v>
      </c>
      <c r="K21" s="49">
        <v>1695712</v>
      </c>
    </row>
    <row r="22" spans="1:11" ht="12.75" customHeight="1" x14ac:dyDescent="0.2">
      <c r="A22" s="225" t="s">
        <v>106</v>
      </c>
      <c r="B22" s="225"/>
      <c r="C22" s="225"/>
      <c r="D22" s="225"/>
      <c r="E22" s="225"/>
      <c r="F22" s="225"/>
      <c r="G22" s="11">
        <v>15</v>
      </c>
      <c r="H22" s="49">
        <v>2550260.21</v>
      </c>
      <c r="I22" s="49">
        <v>687108</v>
      </c>
      <c r="J22" s="49">
        <v>2632582</v>
      </c>
      <c r="K22" s="49">
        <v>650228</v>
      </c>
    </row>
    <row r="23" spans="1:11" ht="12.75" customHeight="1" x14ac:dyDescent="0.2">
      <c r="A23" s="225" t="s">
        <v>107</v>
      </c>
      <c r="B23" s="225"/>
      <c r="C23" s="225"/>
      <c r="D23" s="225"/>
      <c r="E23" s="225"/>
      <c r="F23" s="225"/>
      <c r="G23" s="11">
        <v>16</v>
      </c>
      <c r="H23" s="49">
        <v>1273878.68</v>
      </c>
      <c r="I23" s="49">
        <v>309840</v>
      </c>
      <c r="J23" s="49">
        <v>1297156</v>
      </c>
      <c r="K23" s="49">
        <v>318974</v>
      </c>
    </row>
    <row r="24" spans="1:11" ht="12.75" customHeight="1" x14ac:dyDescent="0.2">
      <c r="A24" s="190" t="s">
        <v>108</v>
      </c>
      <c r="B24" s="190"/>
      <c r="C24" s="190"/>
      <c r="D24" s="190"/>
      <c r="E24" s="190"/>
      <c r="F24" s="190"/>
      <c r="G24" s="11">
        <v>17</v>
      </c>
      <c r="H24" s="49">
        <v>2194341.02</v>
      </c>
      <c r="I24" s="49">
        <v>559003</v>
      </c>
      <c r="J24" s="49">
        <v>2016533</v>
      </c>
      <c r="K24" s="49">
        <v>400149</v>
      </c>
    </row>
    <row r="25" spans="1:11" ht="12.75" customHeight="1" x14ac:dyDescent="0.2">
      <c r="A25" s="190" t="s">
        <v>109</v>
      </c>
      <c r="B25" s="190"/>
      <c r="C25" s="190"/>
      <c r="D25" s="190"/>
      <c r="E25" s="190"/>
      <c r="F25" s="190"/>
      <c r="G25" s="11">
        <v>18</v>
      </c>
      <c r="H25" s="49">
        <v>534079.11</v>
      </c>
      <c r="I25" s="49">
        <v>154827</v>
      </c>
      <c r="J25" s="49">
        <v>671583</v>
      </c>
      <c r="K25" s="49">
        <v>184494</v>
      </c>
    </row>
    <row r="26" spans="1:11" ht="12.75" customHeight="1" x14ac:dyDescent="0.2">
      <c r="A26" s="191" t="s">
        <v>442</v>
      </c>
      <c r="B26" s="191"/>
      <c r="C26" s="191"/>
      <c r="D26" s="191"/>
      <c r="E26" s="191"/>
      <c r="F26" s="191"/>
      <c r="G26" s="12">
        <v>19</v>
      </c>
      <c r="H26" s="48">
        <f>H27+H28</f>
        <v>441358.72</v>
      </c>
      <c r="I26" s="48">
        <f>I27+I28</f>
        <v>145264</v>
      </c>
      <c r="J26" s="48">
        <f>J27+J28</f>
        <v>202803</v>
      </c>
      <c r="K26" s="48">
        <f>K27+K28</f>
        <v>8946</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441358.72</v>
      </c>
      <c r="I28" s="49">
        <v>145264</v>
      </c>
      <c r="J28" s="49">
        <v>202803</v>
      </c>
      <c r="K28" s="49">
        <v>8946</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f>1065952+420236</f>
        <v>1486188</v>
      </c>
      <c r="I36" s="49">
        <v>1094971</v>
      </c>
      <c r="J36" s="49">
        <v>315965</v>
      </c>
      <c r="K36" s="49">
        <v>10419</v>
      </c>
    </row>
    <row r="37" spans="1:11" ht="12.75" customHeight="1" x14ac:dyDescent="0.2">
      <c r="A37" s="224" t="s">
        <v>361</v>
      </c>
      <c r="B37" s="224"/>
      <c r="C37" s="224"/>
      <c r="D37" s="224"/>
      <c r="E37" s="224"/>
      <c r="F37" s="224"/>
      <c r="G37" s="12">
        <v>30</v>
      </c>
      <c r="H37" s="48">
        <f>SUM(H38:H47)</f>
        <v>310945.99</v>
      </c>
      <c r="I37" s="48">
        <f>SUM(I38:I47)</f>
        <v>7966</v>
      </c>
      <c r="J37" s="48">
        <f>SUM(J38:J47)</f>
        <v>68237</v>
      </c>
      <c r="K37" s="48">
        <f>SUM(K38:K47)</f>
        <v>45899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row>
    <row r="42" spans="1:11" ht="25.15" customHeight="1" x14ac:dyDescent="0.2">
      <c r="A42" s="190" t="s">
        <v>135</v>
      </c>
      <c r="B42" s="190"/>
      <c r="C42" s="190"/>
      <c r="D42" s="190"/>
      <c r="E42" s="190"/>
      <c r="F42" s="190"/>
      <c r="G42" s="11">
        <v>35</v>
      </c>
      <c r="H42" s="49">
        <v>46891.63</v>
      </c>
      <c r="I42" s="49">
        <v>105</v>
      </c>
      <c r="J42" s="49">
        <v>17</v>
      </c>
      <c r="K42" s="49">
        <v>17</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1880.51</v>
      </c>
      <c r="I44" s="49">
        <v>1380</v>
      </c>
      <c r="J44" s="49">
        <v>756</v>
      </c>
      <c r="K44" s="49">
        <v>337</v>
      </c>
    </row>
    <row r="45" spans="1:11" ht="12.75" customHeight="1" x14ac:dyDescent="0.2">
      <c r="A45" s="190" t="s">
        <v>138</v>
      </c>
      <c r="B45" s="190"/>
      <c r="C45" s="190"/>
      <c r="D45" s="190"/>
      <c r="E45" s="190"/>
      <c r="F45" s="190"/>
      <c r="G45" s="11">
        <v>38</v>
      </c>
      <c r="H45" s="49">
        <v>242355.82</v>
      </c>
      <c r="I45" s="49">
        <v>559</v>
      </c>
      <c r="J45" s="49">
        <v>40413</v>
      </c>
      <c r="K45" s="49">
        <v>38920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19818.03</v>
      </c>
      <c r="I47" s="49">
        <v>5922</v>
      </c>
      <c r="J47" s="49">
        <v>27051</v>
      </c>
      <c r="K47" s="49">
        <v>6625</v>
      </c>
    </row>
    <row r="48" spans="1:11" ht="12.75" customHeight="1" x14ac:dyDescent="0.2">
      <c r="A48" s="224" t="s">
        <v>362</v>
      </c>
      <c r="B48" s="224"/>
      <c r="C48" s="224"/>
      <c r="D48" s="224"/>
      <c r="E48" s="224"/>
      <c r="F48" s="224"/>
      <c r="G48" s="12">
        <v>41</v>
      </c>
      <c r="H48" s="48">
        <f>SUM(H49:H55)</f>
        <v>1980665.91</v>
      </c>
      <c r="I48" s="48">
        <f>SUM(I49:I55)</f>
        <v>20420</v>
      </c>
      <c r="J48" s="48">
        <f>SUM(J49:J55)</f>
        <v>478631</v>
      </c>
      <c r="K48" s="48">
        <f>SUM(K49:K55)</f>
        <v>298721</v>
      </c>
    </row>
    <row r="49" spans="1:11" ht="25.15" customHeight="1" x14ac:dyDescent="0.2">
      <c r="A49" s="190" t="s">
        <v>141</v>
      </c>
      <c r="B49" s="190"/>
      <c r="C49" s="190"/>
      <c r="D49" s="190"/>
      <c r="E49" s="190"/>
      <c r="F49" s="190"/>
      <c r="G49" s="11">
        <v>42</v>
      </c>
      <c r="H49" s="49">
        <v>334.76</v>
      </c>
      <c r="I49" s="49">
        <v>0</v>
      </c>
      <c r="J49" s="49">
        <v>0</v>
      </c>
      <c r="K49" s="49">
        <v>0</v>
      </c>
    </row>
    <row r="50" spans="1:11" ht="12.75" customHeight="1" x14ac:dyDescent="0.2">
      <c r="A50" s="228" t="s">
        <v>142</v>
      </c>
      <c r="B50" s="228"/>
      <c r="C50" s="228"/>
      <c r="D50" s="228"/>
      <c r="E50" s="228"/>
      <c r="F50" s="228"/>
      <c r="G50" s="11">
        <v>43</v>
      </c>
      <c r="H50" s="49">
        <v>6263.1</v>
      </c>
      <c r="I50" s="49">
        <v>6263</v>
      </c>
      <c r="J50" s="49">
        <v>110524</v>
      </c>
      <c r="K50" s="49">
        <v>109236</v>
      </c>
    </row>
    <row r="51" spans="1:11" ht="12.75" customHeight="1" x14ac:dyDescent="0.2">
      <c r="A51" s="228" t="s">
        <v>143</v>
      </c>
      <c r="B51" s="228"/>
      <c r="C51" s="228"/>
      <c r="D51" s="228"/>
      <c r="E51" s="228"/>
      <c r="F51" s="228"/>
      <c r="G51" s="11">
        <v>44</v>
      </c>
      <c r="H51" s="49">
        <v>673408.74</v>
      </c>
      <c r="I51" s="49">
        <v>0</v>
      </c>
      <c r="J51" s="49">
        <v>225801</v>
      </c>
      <c r="K51" s="49">
        <v>91472</v>
      </c>
    </row>
    <row r="52" spans="1:11" ht="12.75" customHeight="1" x14ac:dyDescent="0.2">
      <c r="A52" s="228" t="s">
        <v>144</v>
      </c>
      <c r="B52" s="228"/>
      <c r="C52" s="228"/>
      <c r="D52" s="228"/>
      <c r="E52" s="228"/>
      <c r="F52" s="228"/>
      <c r="G52" s="11">
        <v>45</v>
      </c>
      <c r="H52" s="49">
        <v>245088.72</v>
      </c>
      <c r="I52" s="49">
        <v>12516</v>
      </c>
      <c r="J52" s="49">
        <v>123745</v>
      </c>
      <c r="K52" s="49">
        <v>96944</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1052851.81</v>
      </c>
      <c r="I54" s="49">
        <v>0</v>
      </c>
      <c r="J54" s="49">
        <v>0</v>
      </c>
      <c r="K54" s="49">
        <v>0</v>
      </c>
    </row>
    <row r="55" spans="1:11" ht="12.75" customHeight="1" x14ac:dyDescent="0.2">
      <c r="A55" s="228" t="s">
        <v>147</v>
      </c>
      <c r="B55" s="228"/>
      <c r="C55" s="228"/>
      <c r="D55" s="228"/>
      <c r="E55" s="228"/>
      <c r="F55" s="228"/>
      <c r="G55" s="11">
        <v>48</v>
      </c>
      <c r="H55" s="49">
        <v>2718.78</v>
      </c>
      <c r="I55" s="49">
        <v>1641</v>
      </c>
      <c r="J55" s="49">
        <v>18561</v>
      </c>
      <c r="K55" s="49">
        <v>1069</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27954367.399999999</v>
      </c>
      <c r="I60" s="48">
        <f t="shared" ref="I60:K60" si="0">I8+I37+I56+I57</f>
        <v>8224329</v>
      </c>
      <c r="J60" s="48">
        <f t="shared" si="0"/>
        <v>20161639</v>
      </c>
      <c r="K60" s="48">
        <f t="shared" si="0"/>
        <v>5178047</v>
      </c>
    </row>
    <row r="61" spans="1:11" ht="12.75" customHeight="1" x14ac:dyDescent="0.2">
      <c r="A61" s="224" t="s">
        <v>364</v>
      </c>
      <c r="B61" s="224"/>
      <c r="C61" s="224"/>
      <c r="D61" s="224"/>
      <c r="E61" s="224"/>
      <c r="F61" s="224"/>
      <c r="G61" s="12">
        <v>54</v>
      </c>
      <c r="H61" s="48">
        <f>H14+H48+H58+H59</f>
        <v>22885241.039999999</v>
      </c>
      <c r="I61" s="48">
        <f t="shared" ref="I61:K61" si="1">I14+I48+I58+I59</f>
        <v>6426599</v>
      </c>
      <c r="J61" s="48">
        <f t="shared" si="1"/>
        <v>19397158</v>
      </c>
      <c r="K61" s="48">
        <f t="shared" si="1"/>
        <v>4795145</v>
      </c>
    </row>
    <row r="62" spans="1:11" ht="12.75" customHeight="1" x14ac:dyDescent="0.2">
      <c r="A62" s="224" t="s">
        <v>365</v>
      </c>
      <c r="B62" s="224"/>
      <c r="C62" s="224"/>
      <c r="D62" s="224"/>
      <c r="E62" s="224"/>
      <c r="F62" s="224"/>
      <c r="G62" s="12">
        <v>55</v>
      </c>
      <c r="H62" s="48">
        <f>H60-H61</f>
        <v>5069126.3599999994</v>
      </c>
      <c r="I62" s="48">
        <f t="shared" ref="I62:K62" si="2">I60-I61</f>
        <v>1797730</v>
      </c>
      <c r="J62" s="48">
        <f t="shared" si="2"/>
        <v>764481</v>
      </c>
      <c r="K62" s="48">
        <f t="shared" si="2"/>
        <v>382902</v>
      </c>
    </row>
    <row r="63" spans="1:11" ht="12.75" customHeight="1" x14ac:dyDescent="0.2">
      <c r="A63" s="229" t="s">
        <v>366</v>
      </c>
      <c r="B63" s="229"/>
      <c r="C63" s="229"/>
      <c r="D63" s="229"/>
      <c r="E63" s="229"/>
      <c r="F63" s="229"/>
      <c r="G63" s="12">
        <v>56</v>
      </c>
      <c r="H63" s="48">
        <f>+IF((H60-H61)&gt;0,(H60-H61),0)</f>
        <v>5069126.3599999994</v>
      </c>
      <c r="I63" s="48">
        <f t="shared" ref="I63:K63" si="3">+IF((I60-I61)&gt;0,(I60-I61),0)</f>
        <v>1797730</v>
      </c>
      <c r="J63" s="48">
        <f t="shared" si="3"/>
        <v>764481</v>
      </c>
      <c r="K63" s="48">
        <f t="shared" si="3"/>
        <v>382902</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-1014655.65</v>
      </c>
      <c r="I65" s="49">
        <v>-1014655.65</v>
      </c>
      <c r="J65" s="49">
        <v>-125322</v>
      </c>
      <c r="K65" s="49">
        <v>-125322</v>
      </c>
    </row>
    <row r="66" spans="1:11" ht="12.75" customHeight="1" x14ac:dyDescent="0.2">
      <c r="A66" s="224" t="s">
        <v>368</v>
      </c>
      <c r="B66" s="224"/>
      <c r="C66" s="224"/>
      <c r="D66" s="224"/>
      <c r="E66" s="224"/>
      <c r="F66" s="224"/>
      <c r="G66" s="12">
        <v>59</v>
      </c>
      <c r="H66" s="48">
        <f>H62-H65</f>
        <v>6083782.0099999998</v>
      </c>
      <c r="I66" s="48">
        <f t="shared" ref="I66:K66" si="5">I62-I65</f>
        <v>2812385.65</v>
      </c>
      <c r="J66" s="48">
        <f t="shared" si="5"/>
        <v>889803</v>
      </c>
      <c r="K66" s="48">
        <f t="shared" si="5"/>
        <v>508224</v>
      </c>
    </row>
    <row r="67" spans="1:11" ht="12.75" customHeight="1" x14ac:dyDescent="0.2">
      <c r="A67" s="229" t="s">
        <v>369</v>
      </c>
      <c r="B67" s="229"/>
      <c r="C67" s="229"/>
      <c r="D67" s="229"/>
      <c r="E67" s="229"/>
      <c r="F67" s="229"/>
      <c r="G67" s="12">
        <v>60</v>
      </c>
      <c r="H67" s="48">
        <f>+IF((H62-H65)&gt;0,(H62-H65),0)</f>
        <v>6083782.0099999998</v>
      </c>
      <c r="I67" s="48">
        <f t="shared" ref="I67:K67" si="6">+IF((I62-I65)&gt;0,(I62-I65),0)</f>
        <v>2812385.65</v>
      </c>
      <c r="J67" s="48">
        <f t="shared" si="6"/>
        <v>889803</v>
      </c>
      <c r="K67" s="48">
        <f t="shared" si="6"/>
        <v>508224</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90" zoomScaleNormal="100" zoomScaleSheetLayoutView="90" workbookViewId="0">
      <selection activeCell="I51" sqref="I5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tr">
        <f>RDG!A2</f>
        <v>u razdoblju 01.01.2024 do 31.12.2024</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tr">
        <f>Bilanca!A4</f>
        <v>Obveznik: INSTITUT IGH d.d.</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5069125</v>
      </c>
      <c r="I8" s="64">
        <f>RDG!J62</f>
        <v>764481</v>
      </c>
    </row>
    <row r="9" spans="1:9" ht="12.75" customHeight="1" x14ac:dyDescent="0.2">
      <c r="A9" s="248" t="s">
        <v>171</v>
      </c>
      <c r="B9" s="248"/>
      <c r="C9" s="248"/>
      <c r="D9" s="248"/>
      <c r="E9" s="248"/>
      <c r="F9" s="248"/>
      <c r="G9" s="65">
        <v>2</v>
      </c>
      <c r="H9" s="66">
        <f>H10+H11+H12+H13+H14+H15+H16+H17</f>
        <v>11932022</v>
      </c>
      <c r="I9" s="66">
        <f>I10+I11+I12+I13+I14+I15+I16+I17</f>
        <v>3001372</v>
      </c>
    </row>
    <row r="10" spans="1:9" ht="12.75" customHeight="1" x14ac:dyDescent="0.2">
      <c r="A10" s="225" t="s">
        <v>172</v>
      </c>
      <c r="B10" s="225"/>
      <c r="C10" s="225"/>
      <c r="D10" s="225"/>
      <c r="E10" s="225"/>
      <c r="F10" s="225"/>
      <c r="G10" s="63">
        <v>3</v>
      </c>
      <c r="H10" s="64">
        <v>2194341</v>
      </c>
      <c r="I10" s="64">
        <f>RDG!J24</f>
        <v>2016533</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f>286371-5838000</f>
        <v>-5551629</v>
      </c>
      <c r="I12" s="64">
        <f>-RDG!J28</f>
        <v>-202803</v>
      </c>
    </row>
    <row r="13" spans="1:9" ht="12.75" customHeight="1" x14ac:dyDescent="0.2">
      <c r="A13" s="225" t="s">
        <v>175</v>
      </c>
      <c r="B13" s="225"/>
      <c r="C13" s="225"/>
      <c r="D13" s="225"/>
      <c r="E13" s="225"/>
      <c r="F13" s="225"/>
      <c r="G13" s="63">
        <v>6</v>
      </c>
      <c r="H13" s="64">
        <v>-1881</v>
      </c>
      <c r="I13" s="64">
        <f>RDG!J44</f>
        <v>756</v>
      </c>
    </row>
    <row r="14" spans="1:9" ht="12.75" customHeight="1" x14ac:dyDescent="0.2">
      <c r="A14" s="225" t="s">
        <v>176</v>
      </c>
      <c r="B14" s="225"/>
      <c r="C14" s="225"/>
      <c r="D14" s="225"/>
      <c r="E14" s="225"/>
      <c r="F14" s="225"/>
      <c r="G14" s="63">
        <v>7</v>
      </c>
      <c r="H14" s="64">
        <v>673744</v>
      </c>
      <c r="I14" s="64">
        <f>-RDG!J51</f>
        <v>-225801</v>
      </c>
    </row>
    <row r="15" spans="1:9" ht="12.75" customHeight="1" x14ac:dyDescent="0.2">
      <c r="A15" s="225" t="s">
        <v>177</v>
      </c>
      <c r="B15" s="225"/>
      <c r="C15" s="225"/>
      <c r="D15" s="225"/>
      <c r="E15" s="225"/>
      <c r="F15" s="225"/>
      <c r="G15" s="63">
        <v>8</v>
      </c>
      <c r="H15" s="64">
        <v>-453835</v>
      </c>
      <c r="I15" s="64">
        <f>Bilanca!I98-Bilanca!H98</f>
        <v>-692916</v>
      </c>
    </row>
    <row r="16" spans="1:9" ht="12.75" customHeight="1" x14ac:dyDescent="0.2">
      <c r="A16" s="225" t="s">
        <v>178</v>
      </c>
      <c r="B16" s="225"/>
      <c r="C16" s="225"/>
      <c r="D16" s="225"/>
      <c r="E16" s="225"/>
      <c r="F16" s="225"/>
      <c r="G16" s="63">
        <v>9</v>
      </c>
      <c r="H16" s="64">
        <v>0</v>
      </c>
      <c r="I16" s="64"/>
    </row>
    <row r="17" spans="1:9" ht="25.15" customHeight="1" x14ac:dyDescent="0.2">
      <c r="A17" s="225" t="s">
        <v>179</v>
      </c>
      <c r="B17" s="225"/>
      <c r="C17" s="225"/>
      <c r="D17" s="225"/>
      <c r="E17" s="225"/>
      <c r="F17" s="225"/>
      <c r="G17" s="63">
        <v>10</v>
      </c>
      <c r="H17" s="64">
        <f>15184854-113406-166</f>
        <v>15071282</v>
      </c>
      <c r="I17" s="64">
        <f>984842-2-1-I14-I13-I15-I12</f>
        <v>2105603</v>
      </c>
    </row>
    <row r="18" spans="1:9" ht="28.15" customHeight="1" x14ac:dyDescent="0.2">
      <c r="A18" s="247" t="s">
        <v>306</v>
      </c>
      <c r="B18" s="247"/>
      <c r="C18" s="247"/>
      <c r="D18" s="247"/>
      <c r="E18" s="247"/>
      <c r="F18" s="247"/>
      <c r="G18" s="65">
        <v>11</v>
      </c>
      <c r="H18" s="66">
        <f>H8+H9</f>
        <v>17001147</v>
      </c>
      <c r="I18" s="66">
        <f>I8+I9</f>
        <v>3765853</v>
      </c>
    </row>
    <row r="19" spans="1:9" ht="12.75" customHeight="1" x14ac:dyDescent="0.2">
      <c r="A19" s="248" t="s">
        <v>180</v>
      </c>
      <c r="B19" s="248"/>
      <c r="C19" s="248"/>
      <c r="D19" s="248"/>
      <c r="E19" s="248"/>
      <c r="F19" s="248"/>
      <c r="G19" s="65">
        <v>12</v>
      </c>
      <c r="H19" s="66">
        <f>H20+H21+H22+H23</f>
        <v>-16149203</v>
      </c>
      <c r="I19" s="66">
        <f>I20+I21+I22+I23</f>
        <v>-5148261</v>
      </c>
    </row>
    <row r="20" spans="1:9" ht="12.75" customHeight="1" x14ac:dyDescent="0.2">
      <c r="A20" s="225" t="s">
        <v>181</v>
      </c>
      <c r="B20" s="225"/>
      <c r="C20" s="225"/>
      <c r="D20" s="225"/>
      <c r="E20" s="225"/>
      <c r="F20" s="225"/>
      <c r="G20" s="63">
        <v>13</v>
      </c>
      <c r="H20" s="64">
        <v>-17834231</v>
      </c>
      <c r="I20" s="64">
        <v>67782</v>
      </c>
    </row>
    <row r="21" spans="1:9" ht="12.75" customHeight="1" x14ac:dyDescent="0.2">
      <c r="A21" s="225" t="s">
        <v>182</v>
      </c>
      <c r="B21" s="225"/>
      <c r="C21" s="225"/>
      <c r="D21" s="225"/>
      <c r="E21" s="225"/>
      <c r="F21" s="225"/>
      <c r="G21" s="63">
        <v>14</v>
      </c>
      <c r="H21" s="64">
        <v>1749503</v>
      </c>
      <c r="I21" s="64">
        <v>-21244</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f>-63619-856</f>
        <v>-64475</v>
      </c>
      <c r="I23" s="64">
        <f>-242630-4952169</f>
        <v>-5194799</v>
      </c>
    </row>
    <row r="24" spans="1:9" ht="12.75" customHeight="1" x14ac:dyDescent="0.2">
      <c r="A24" s="247" t="s">
        <v>185</v>
      </c>
      <c r="B24" s="247"/>
      <c r="C24" s="247"/>
      <c r="D24" s="247"/>
      <c r="E24" s="247"/>
      <c r="F24" s="247"/>
      <c r="G24" s="65">
        <v>17</v>
      </c>
      <c r="H24" s="66">
        <f>H18+H19</f>
        <v>851944</v>
      </c>
      <c r="I24" s="66">
        <f>I18+I19</f>
        <v>-1382408</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851944</v>
      </c>
      <c r="I27" s="66">
        <f>I24+I25+I26</f>
        <v>-1382408</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457439</v>
      </c>
      <c r="I29" s="67">
        <v>581546</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86588</v>
      </c>
      <c r="I33" s="67">
        <v>508898</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544027</v>
      </c>
      <c r="I35" s="68">
        <f>I29+I30+I31+I32+I33+I34</f>
        <v>1090444</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0</v>
      </c>
      <c r="I41" s="68">
        <f>I36+I37+I38+I39+I40</f>
        <v>0</v>
      </c>
    </row>
    <row r="42" spans="1:9" ht="29.45" customHeight="1" x14ac:dyDescent="0.2">
      <c r="A42" s="252" t="s">
        <v>203</v>
      </c>
      <c r="B42" s="252"/>
      <c r="C42" s="252"/>
      <c r="D42" s="252"/>
      <c r="E42" s="252"/>
      <c r="F42" s="252"/>
      <c r="G42" s="65">
        <v>34</v>
      </c>
      <c r="H42" s="68">
        <f>H35+H41</f>
        <v>544027</v>
      </c>
      <c r="I42" s="68">
        <f>I35+I41</f>
        <v>1090444</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0</v>
      </c>
    </row>
    <row r="49" spans="1:9" ht="24.6" customHeight="1" x14ac:dyDescent="0.2">
      <c r="A49" s="190" t="s">
        <v>305</v>
      </c>
      <c r="B49" s="190"/>
      <c r="C49" s="190"/>
      <c r="D49" s="190"/>
      <c r="E49" s="190"/>
      <c r="F49" s="190"/>
      <c r="G49" s="63">
        <v>40</v>
      </c>
      <c r="H49" s="67">
        <v>-17221</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-1427603</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-1444824</v>
      </c>
      <c r="I54" s="68">
        <f>I49+I50+I51+I52+I53</f>
        <v>0</v>
      </c>
    </row>
    <row r="55" spans="1:9" ht="29.45" customHeight="1" x14ac:dyDescent="0.2">
      <c r="A55" s="252" t="s">
        <v>215</v>
      </c>
      <c r="B55" s="252"/>
      <c r="C55" s="252"/>
      <c r="D55" s="252"/>
      <c r="E55" s="252"/>
      <c r="F55" s="252"/>
      <c r="G55" s="65">
        <v>46</v>
      </c>
      <c r="H55" s="68">
        <f>H48+H54</f>
        <v>-1444824</v>
      </c>
      <c r="I55" s="68">
        <f>I48+I54</f>
        <v>0</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-48853</v>
      </c>
      <c r="I57" s="68">
        <f>I27+I42+I55+I56</f>
        <v>-291964</v>
      </c>
    </row>
    <row r="58" spans="1:9" x14ac:dyDescent="0.2">
      <c r="A58" s="253" t="s">
        <v>218</v>
      </c>
      <c r="B58" s="253"/>
      <c r="C58" s="253"/>
      <c r="D58" s="253"/>
      <c r="E58" s="253"/>
      <c r="F58" s="253"/>
      <c r="G58" s="63">
        <v>49</v>
      </c>
      <c r="H58" s="67">
        <v>458402</v>
      </c>
      <c r="I58" s="67">
        <f>H59</f>
        <v>409549</v>
      </c>
    </row>
    <row r="59" spans="1:9" ht="31.15" customHeight="1" x14ac:dyDescent="0.2">
      <c r="A59" s="252" t="s">
        <v>219</v>
      </c>
      <c r="B59" s="252"/>
      <c r="C59" s="252"/>
      <c r="D59" s="252"/>
      <c r="E59" s="252"/>
      <c r="F59" s="252"/>
      <c r="G59" s="65">
        <v>50</v>
      </c>
      <c r="H59" s="68">
        <f>H57+H58</f>
        <v>409549</v>
      </c>
      <c r="I59" s="68">
        <f>I57+I58</f>
        <v>117585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c r="I8" s="23"/>
    </row>
    <row r="9" spans="1:9" x14ac:dyDescent="0.2">
      <c r="A9" s="258" t="s">
        <v>222</v>
      </c>
      <c r="B9" s="258"/>
      <c r="C9" s="258"/>
      <c r="D9" s="258"/>
      <c r="E9" s="258"/>
      <c r="F9" s="258"/>
      <c r="G9" s="17">
        <v>2</v>
      </c>
      <c r="H9" s="24"/>
      <c r="I9" s="24"/>
    </row>
    <row r="10" spans="1:9" x14ac:dyDescent="0.2">
      <c r="A10" s="258" t="s">
        <v>223</v>
      </c>
      <c r="B10" s="258"/>
      <c r="C10" s="258"/>
      <c r="D10" s="258"/>
      <c r="E10" s="258"/>
      <c r="F10" s="258"/>
      <c r="G10" s="17">
        <v>3</v>
      </c>
      <c r="H10" s="24"/>
      <c r="I10" s="24"/>
    </row>
    <row r="11" spans="1:9" x14ac:dyDescent="0.2">
      <c r="A11" s="258" t="s">
        <v>224</v>
      </c>
      <c r="B11" s="258"/>
      <c r="C11" s="258"/>
      <c r="D11" s="258"/>
      <c r="E11" s="258"/>
      <c r="F11" s="258"/>
      <c r="G11" s="17">
        <v>4</v>
      </c>
      <c r="H11" s="24"/>
      <c r="I11" s="24"/>
    </row>
    <row r="12" spans="1:9" x14ac:dyDescent="0.2">
      <c r="A12" s="258" t="s">
        <v>395</v>
      </c>
      <c r="B12" s="258"/>
      <c r="C12" s="258"/>
      <c r="D12" s="258"/>
      <c r="E12" s="258"/>
      <c r="F12" s="258"/>
      <c r="G12" s="17">
        <v>5</v>
      </c>
      <c r="H12" s="24"/>
      <c r="I12" s="24"/>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c r="I14" s="24"/>
    </row>
    <row r="15" spans="1:9" ht="12.75" customHeight="1" x14ac:dyDescent="0.2">
      <c r="A15" s="258" t="s">
        <v>398</v>
      </c>
      <c r="B15" s="258"/>
      <c r="C15" s="258"/>
      <c r="D15" s="258"/>
      <c r="E15" s="258"/>
      <c r="F15" s="258"/>
      <c r="G15" s="17">
        <v>8</v>
      </c>
      <c r="H15" s="24"/>
      <c r="I15" s="24"/>
    </row>
    <row r="16" spans="1:9" ht="12.75" customHeight="1" x14ac:dyDescent="0.2">
      <c r="A16" s="258" t="s">
        <v>399</v>
      </c>
      <c r="B16" s="258"/>
      <c r="C16" s="258"/>
      <c r="D16" s="258"/>
      <c r="E16" s="258"/>
      <c r="F16" s="258"/>
      <c r="G16" s="17">
        <v>9</v>
      </c>
      <c r="H16" s="24"/>
      <c r="I16" s="24"/>
    </row>
    <row r="17" spans="1:9" ht="12.75" customHeight="1" x14ac:dyDescent="0.2">
      <c r="A17" s="258" t="s">
        <v>400</v>
      </c>
      <c r="B17" s="258"/>
      <c r="C17" s="258"/>
      <c r="D17" s="258"/>
      <c r="E17" s="258"/>
      <c r="F17" s="258"/>
      <c r="G17" s="17">
        <v>10</v>
      </c>
      <c r="H17" s="24"/>
      <c r="I17" s="24"/>
    </row>
    <row r="18" spans="1:9" ht="12.75" customHeight="1" x14ac:dyDescent="0.2">
      <c r="A18" s="258" t="s">
        <v>401</v>
      </c>
      <c r="B18" s="258"/>
      <c r="C18" s="258"/>
      <c r="D18" s="258"/>
      <c r="E18" s="258"/>
      <c r="F18" s="258"/>
      <c r="G18" s="17">
        <v>11</v>
      </c>
      <c r="H18" s="24"/>
      <c r="I18" s="24"/>
    </row>
    <row r="19" spans="1:9" ht="12.75" customHeight="1" x14ac:dyDescent="0.2">
      <c r="A19" s="258" t="s">
        <v>402</v>
      </c>
      <c r="B19" s="258"/>
      <c r="C19" s="258"/>
      <c r="D19" s="258"/>
      <c r="E19" s="258"/>
      <c r="F19" s="258"/>
      <c r="G19" s="17">
        <v>12</v>
      </c>
      <c r="H19" s="24"/>
      <c r="I19" s="24"/>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c r="I23" s="23"/>
    </row>
    <row r="24" spans="1:9" ht="12.75" customHeight="1" x14ac:dyDescent="0.2">
      <c r="A24" s="258" t="s">
        <v>226</v>
      </c>
      <c r="B24" s="258"/>
      <c r="C24" s="258"/>
      <c r="D24" s="258"/>
      <c r="E24" s="258"/>
      <c r="F24" s="258"/>
      <c r="G24" s="16">
        <v>16</v>
      </c>
      <c r="H24" s="24"/>
      <c r="I24" s="24"/>
    </row>
    <row r="25" spans="1:9" ht="12.75" customHeight="1" x14ac:dyDescent="0.2">
      <c r="A25" s="258" t="s">
        <v>227</v>
      </c>
      <c r="B25" s="258"/>
      <c r="C25" s="258"/>
      <c r="D25" s="258"/>
      <c r="E25" s="258"/>
      <c r="F25" s="258"/>
      <c r="G25" s="16">
        <v>17</v>
      </c>
      <c r="H25" s="24"/>
      <c r="I25" s="24"/>
    </row>
    <row r="26" spans="1:9" ht="12.75" customHeight="1" x14ac:dyDescent="0.2">
      <c r="A26" s="258" t="s">
        <v>228</v>
      </c>
      <c r="B26" s="258"/>
      <c r="C26" s="258"/>
      <c r="D26" s="258"/>
      <c r="E26" s="258"/>
      <c r="F26" s="258"/>
      <c r="G26" s="16">
        <v>18</v>
      </c>
      <c r="H26" s="24"/>
      <c r="I26" s="24"/>
    </row>
    <row r="27" spans="1:9" ht="12.75" customHeight="1" x14ac:dyDescent="0.2">
      <c r="A27" s="258" t="s">
        <v>229</v>
      </c>
      <c r="B27" s="258"/>
      <c r="C27" s="258"/>
      <c r="D27" s="258"/>
      <c r="E27" s="258"/>
      <c r="F27" s="258"/>
      <c r="G27" s="16">
        <v>19</v>
      </c>
      <c r="H27" s="24"/>
      <c r="I27" s="24"/>
    </row>
    <row r="28" spans="1:9" ht="12.75" customHeight="1" x14ac:dyDescent="0.2">
      <c r="A28" s="258" t="s">
        <v>230</v>
      </c>
      <c r="B28" s="258"/>
      <c r="C28" s="258"/>
      <c r="D28" s="258"/>
      <c r="E28" s="258"/>
      <c r="F28" s="258"/>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c r="I30" s="24"/>
    </row>
    <row r="31" spans="1:9" ht="12.75" customHeight="1" x14ac:dyDescent="0.2">
      <c r="A31" s="258" t="s">
        <v>232</v>
      </c>
      <c r="B31" s="258"/>
      <c r="C31" s="258"/>
      <c r="D31" s="258"/>
      <c r="E31" s="258"/>
      <c r="F31" s="258"/>
      <c r="G31" s="17">
        <v>23</v>
      </c>
      <c r="H31" s="24"/>
      <c r="I31" s="24"/>
    </row>
    <row r="32" spans="1:9" ht="12.75" customHeight="1" x14ac:dyDescent="0.2">
      <c r="A32" s="258" t="s">
        <v>406</v>
      </c>
      <c r="B32" s="258"/>
      <c r="C32" s="258"/>
      <c r="D32" s="258"/>
      <c r="E32" s="258"/>
      <c r="F32" s="258"/>
      <c r="G32" s="17">
        <v>24</v>
      </c>
      <c r="H32" s="24"/>
      <c r="I32" s="24"/>
    </row>
    <row r="33" spans="1:9" ht="12.75" customHeight="1" x14ac:dyDescent="0.2">
      <c r="A33" s="258" t="s">
        <v>233</v>
      </c>
      <c r="B33" s="258"/>
      <c r="C33" s="258"/>
      <c r="D33" s="258"/>
      <c r="E33" s="258"/>
      <c r="F33" s="258"/>
      <c r="G33" s="17">
        <v>25</v>
      </c>
      <c r="H33" s="24"/>
      <c r="I33" s="24"/>
    </row>
    <row r="34" spans="1:9" ht="12.75" customHeight="1" x14ac:dyDescent="0.2">
      <c r="A34" s="258" t="s">
        <v>234</v>
      </c>
      <c r="B34" s="258"/>
      <c r="C34" s="258"/>
      <c r="D34" s="258"/>
      <c r="E34" s="258"/>
      <c r="F34" s="258"/>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c r="I38" s="23"/>
    </row>
    <row r="39" spans="1:9" ht="25.15" customHeight="1" x14ac:dyDescent="0.2">
      <c r="A39" s="257" t="s">
        <v>236</v>
      </c>
      <c r="B39" s="257"/>
      <c r="C39" s="257"/>
      <c r="D39" s="257"/>
      <c r="E39" s="257"/>
      <c r="F39" s="257"/>
      <c r="G39" s="17">
        <v>30</v>
      </c>
      <c r="H39" s="24"/>
      <c r="I39" s="24"/>
    </row>
    <row r="40" spans="1:9" ht="12.75" customHeight="1" x14ac:dyDescent="0.2">
      <c r="A40" s="257" t="s">
        <v>237</v>
      </c>
      <c r="B40" s="257"/>
      <c r="C40" s="257"/>
      <c r="D40" s="257"/>
      <c r="E40" s="257"/>
      <c r="F40" s="257"/>
      <c r="G40" s="17">
        <v>31</v>
      </c>
      <c r="H40" s="24"/>
      <c r="I40" s="24"/>
    </row>
    <row r="41" spans="1:9" ht="12.75" customHeight="1" x14ac:dyDescent="0.2">
      <c r="A41" s="257" t="s">
        <v>238</v>
      </c>
      <c r="B41" s="257"/>
      <c r="C41" s="257"/>
      <c r="D41" s="257"/>
      <c r="E41" s="257"/>
      <c r="F41" s="257"/>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c r="I43" s="24"/>
    </row>
    <row r="44" spans="1:9" ht="12.75" customHeight="1" x14ac:dyDescent="0.2">
      <c r="A44" s="257" t="s">
        <v>240</v>
      </c>
      <c r="B44" s="257"/>
      <c r="C44" s="257"/>
      <c r="D44" s="257"/>
      <c r="E44" s="257"/>
      <c r="F44" s="257"/>
      <c r="G44" s="17">
        <v>35</v>
      </c>
      <c r="H44" s="24"/>
      <c r="I44" s="24"/>
    </row>
    <row r="45" spans="1:9" ht="12.75" customHeight="1" x14ac:dyDescent="0.2">
      <c r="A45" s="257" t="s">
        <v>241</v>
      </c>
      <c r="B45" s="257"/>
      <c r="C45" s="257"/>
      <c r="D45" s="257"/>
      <c r="E45" s="257"/>
      <c r="F45" s="257"/>
      <c r="G45" s="17">
        <v>36</v>
      </c>
      <c r="H45" s="24"/>
      <c r="I45" s="24"/>
    </row>
    <row r="46" spans="1:9" ht="21" customHeight="1" x14ac:dyDescent="0.2">
      <c r="A46" s="257" t="s">
        <v>242</v>
      </c>
      <c r="B46" s="257"/>
      <c r="C46" s="257"/>
      <c r="D46" s="257"/>
      <c r="E46" s="257"/>
      <c r="F46" s="257"/>
      <c r="G46" s="17">
        <v>37</v>
      </c>
      <c r="H46" s="24"/>
      <c r="I46" s="24"/>
    </row>
    <row r="47" spans="1:9" ht="12.75" customHeight="1" x14ac:dyDescent="0.2">
      <c r="A47" s="257" t="s">
        <v>243</v>
      </c>
      <c r="B47" s="257"/>
      <c r="C47" s="257"/>
      <c r="D47" s="257"/>
      <c r="E47" s="257"/>
      <c r="F47" s="257"/>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c r="I50" s="24"/>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c r="I52" s="24"/>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P52" sqref="P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45657</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15476105</v>
      </c>
      <c r="I7" s="33">
        <v>-33895</v>
      </c>
      <c r="J7" s="33">
        <v>0</v>
      </c>
      <c r="K7" s="33">
        <v>191958</v>
      </c>
      <c r="L7" s="33">
        <v>400340</v>
      </c>
      <c r="M7" s="33">
        <v>0</v>
      </c>
      <c r="N7" s="33">
        <v>0</v>
      </c>
      <c r="O7" s="33">
        <v>5209116</v>
      </c>
      <c r="P7" s="33">
        <v>133711</v>
      </c>
      <c r="Q7" s="33">
        <v>0</v>
      </c>
      <c r="R7" s="33">
        <v>0</v>
      </c>
      <c r="S7" s="33">
        <v>0</v>
      </c>
      <c r="T7" s="33">
        <v>-39492</v>
      </c>
      <c r="U7" s="33">
        <v>-33460256</v>
      </c>
      <c r="V7" s="33">
        <v>2251077</v>
      </c>
      <c r="W7" s="34">
        <f>H7+I7+J7+K7-L7+M7+N7+O7+P7+Q7+R7+U7+V7+S7+T7</f>
        <v>-10672016</v>
      </c>
      <c r="X7" s="33"/>
      <c r="Y7" s="34">
        <f>W7+X7</f>
        <v>-10672016</v>
      </c>
    </row>
    <row r="8" spans="1:25" x14ac:dyDescent="0.2">
      <c r="A8" s="278" t="s">
        <v>265</v>
      </c>
      <c r="B8" s="278"/>
      <c r="C8" s="278"/>
      <c r="D8" s="278"/>
      <c r="E8" s="278"/>
      <c r="F8" s="278"/>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8" t="s">
        <v>266</v>
      </c>
      <c r="B9" s="278"/>
      <c r="C9" s="278"/>
      <c r="D9" s="278"/>
      <c r="E9" s="278"/>
      <c r="F9" s="278"/>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79" t="s">
        <v>299</v>
      </c>
      <c r="B10" s="279"/>
      <c r="C10" s="279"/>
      <c r="D10" s="279"/>
      <c r="E10" s="279"/>
      <c r="F10" s="279"/>
      <c r="G10" s="7">
        <v>4</v>
      </c>
      <c r="H10" s="34">
        <f>H7+H8+H9</f>
        <v>15476105</v>
      </c>
      <c r="I10" s="34">
        <f t="shared" ref="I10:Y10" si="2">I7+I8+I9</f>
        <v>-33895</v>
      </c>
      <c r="J10" s="34">
        <f t="shared" si="2"/>
        <v>0</v>
      </c>
      <c r="K10" s="34">
        <f>K7+K8+K9</f>
        <v>191958</v>
      </c>
      <c r="L10" s="34">
        <f t="shared" si="2"/>
        <v>400340</v>
      </c>
      <c r="M10" s="34">
        <f t="shared" si="2"/>
        <v>0</v>
      </c>
      <c r="N10" s="34">
        <f t="shared" si="2"/>
        <v>0</v>
      </c>
      <c r="O10" s="34">
        <f t="shared" si="2"/>
        <v>5209116</v>
      </c>
      <c r="P10" s="34">
        <f t="shared" si="2"/>
        <v>133711</v>
      </c>
      <c r="Q10" s="34">
        <f t="shared" si="2"/>
        <v>0</v>
      </c>
      <c r="R10" s="34">
        <f t="shared" si="2"/>
        <v>0</v>
      </c>
      <c r="S10" s="34">
        <f t="shared" si="2"/>
        <v>0</v>
      </c>
      <c r="T10" s="34">
        <f t="shared" si="2"/>
        <v>-39492</v>
      </c>
      <c r="U10" s="34">
        <f t="shared" si="2"/>
        <v>-33460256</v>
      </c>
      <c r="V10" s="34">
        <f t="shared" si="2"/>
        <v>2251077</v>
      </c>
      <c r="W10" s="34">
        <f t="shared" si="2"/>
        <v>-10672016</v>
      </c>
      <c r="X10" s="34">
        <f t="shared" si="2"/>
        <v>0</v>
      </c>
      <c r="Y10" s="34">
        <f t="shared" si="2"/>
        <v>-10672016</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c r="T11" s="33"/>
      <c r="U11" s="35">
        <v>0</v>
      </c>
      <c r="V11" s="33">
        <f>Bilanca!H95</f>
        <v>6083780</v>
      </c>
      <c r="W11" s="34">
        <f t="shared" ref="W11:W29" si="3">H11+I11+J11+K11-L11+M11+N11+O11+P11+Q11+R11+U11+V11+S11+T11</f>
        <v>6083780</v>
      </c>
      <c r="X11" s="33"/>
      <c r="Y11" s="34">
        <f t="shared" ref="Y11:Y29" si="4">W11+X11</f>
        <v>6083780</v>
      </c>
    </row>
    <row r="12" spans="1:25" x14ac:dyDescent="0.2">
      <c r="A12" s="278" t="s">
        <v>268</v>
      </c>
      <c r="B12" s="278"/>
      <c r="C12" s="278"/>
      <c r="D12" s="278"/>
      <c r="E12" s="278"/>
      <c r="F12" s="278"/>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-3503292</v>
      </c>
      <c r="P13" s="35">
        <v>0</v>
      </c>
      <c r="Q13" s="35">
        <v>0</v>
      </c>
      <c r="R13" s="35">
        <v>0</v>
      </c>
      <c r="S13" s="33"/>
      <c r="T13" s="33"/>
      <c r="U13" s="33">
        <v>4687250</v>
      </c>
      <c r="V13" s="33"/>
      <c r="W13" s="34">
        <f t="shared" si="3"/>
        <v>1183958</v>
      </c>
      <c r="X13" s="33"/>
      <c r="Y13" s="34">
        <f t="shared" si="4"/>
        <v>1183958</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8" t="s">
        <v>274</v>
      </c>
      <c r="B19" s="278"/>
      <c r="C19" s="278"/>
      <c r="D19" s="278"/>
      <c r="E19" s="278"/>
      <c r="F19" s="278"/>
      <c r="G19" s="6">
        <v>13</v>
      </c>
      <c r="H19" s="33"/>
      <c r="I19" s="33"/>
      <c r="J19" s="33"/>
      <c r="K19" s="33"/>
      <c r="L19" s="33"/>
      <c r="M19" s="33"/>
      <c r="N19" s="33"/>
      <c r="O19" s="33"/>
      <c r="P19" s="33"/>
      <c r="Q19" s="33"/>
      <c r="R19" s="33"/>
      <c r="S19" s="33"/>
      <c r="T19" s="33">
        <v>321</v>
      </c>
      <c r="U19" s="33">
        <v>8195</v>
      </c>
      <c r="V19" s="33"/>
      <c r="W19" s="34">
        <f t="shared" si="3"/>
        <v>8516</v>
      </c>
      <c r="X19" s="33"/>
      <c r="Y19" s="34">
        <f t="shared" si="4"/>
        <v>8516</v>
      </c>
    </row>
    <row r="20" spans="1:25" x14ac:dyDescent="0.2">
      <c r="A20" s="278" t="s">
        <v>275</v>
      </c>
      <c r="B20" s="278"/>
      <c r="C20" s="278"/>
      <c r="D20" s="278"/>
      <c r="E20" s="278"/>
      <c r="F20" s="278"/>
      <c r="G20" s="6">
        <v>14</v>
      </c>
      <c r="H20" s="35">
        <v>0</v>
      </c>
      <c r="I20" s="35">
        <v>0</v>
      </c>
      <c r="J20" s="35">
        <v>0</v>
      </c>
      <c r="K20" s="35">
        <v>0</v>
      </c>
      <c r="L20" s="35">
        <v>0</v>
      </c>
      <c r="M20" s="35">
        <v>0</v>
      </c>
      <c r="N20" s="33"/>
      <c r="O20" s="33"/>
      <c r="P20" s="33"/>
      <c r="Q20" s="33"/>
      <c r="R20" s="33"/>
      <c r="S20" s="33"/>
      <c r="T20" s="33"/>
      <c r="U20" s="33"/>
      <c r="V20" s="33"/>
      <c r="W20" s="34">
        <f t="shared" si="3"/>
        <v>0</v>
      </c>
      <c r="X20" s="33"/>
      <c r="Y20" s="34">
        <f t="shared" si="4"/>
        <v>0</v>
      </c>
    </row>
    <row r="21" spans="1:25" ht="30.75" customHeight="1" x14ac:dyDescent="0.2">
      <c r="A21" s="278" t="s">
        <v>420</v>
      </c>
      <c r="B21" s="278"/>
      <c r="C21" s="278"/>
      <c r="D21" s="278"/>
      <c r="E21" s="278"/>
      <c r="F21" s="278"/>
      <c r="G21" s="6">
        <v>15</v>
      </c>
      <c r="H21" s="33">
        <v>-9339015</v>
      </c>
      <c r="I21" s="33"/>
      <c r="J21" s="33"/>
      <c r="K21" s="33"/>
      <c r="L21" s="33"/>
      <c r="M21" s="33"/>
      <c r="N21" s="33"/>
      <c r="O21" s="33"/>
      <c r="P21" s="33"/>
      <c r="Q21" s="33"/>
      <c r="R21" s="33"/>
      <c r="S21" s="33"/>
      <c r="T21" s="33"/>
      <c r="U21" s="33">
        <v>9339015</v>
      </c>
      <c r="V21" s="33"/>
      <c r="W21" s="34">
        <f t="shared" si="3"/>
        <v>0</v>
      </c>
      <c r="X21" s="33"/>
      <c r="Y21" s="34">
        <f t="shared" si="4"/>
        <v>0</v>
      </c>
    </row>
    <row r="22" spans="1:25" ht="28.5" customHeight="1" x14ac:dyDescent="0.2">
      <c r="A22" s="278" t="s">
        <v>421</v>
      </c>
      <c r="B22" s="278"/>
      <c r="C22" s="278"/>
      <c r="D22" s="278"/>
      <c r="E22" s="278"/>
      <c r="F22" s="278"/>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8" t="s">
        <v>422</v>
      </c>
      <c r="B23" s="278"/>
      <c r="C23" s="278"/>
      <c r="D23" s="278"/>
      <c r="E23" s="278"/>
      <c r="F23" s="278"/>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8" t="s">
        <v>276</v>
      </c>
      <c r="B24" s="278"/>
      <c r="C24" s="278"/>
      <c r="D24" s="278"/>
      <c r="E24" s="278"/>
      <c r="F24" s="278"/>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8" t="s">
        <v>423</v>
      </c>
      <c r="B25" s="278"/>
      <c r="C25" s="278"/>
      <c r="D25" s="278"/>
      <c r="E25" s="278"/>
      <c r="F25" s="278"/>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8" t="s">
        <v>431</v>
      </c>
      <c r="B26" s="278"/>
      <c r="C26" s="278"/>
      <c r="D26" s="278"/>
      <c r="E26" s="278"/>
      <c r="F26" s="278"/>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8" t="s">
        <v>424</v>
      </c>
      <c r="B27" s="278"/>
      <c r="C27" s="278"/>
      <c r="D27" s="278"/>
      <c r="E27" s="278"/>
      <c r="F27" s="278"/>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8" t="s">
        <v>425</v>
      </c>
      <c r="B28" s="278"/>
      <c r="C28" s="278"/>
      <c r="D28" s="278"/>
      <c r="E28" s="278"/>
      <c r="F28" s="278"/>
      <c r="G28" s="6">
        <v>22</v>
      </c>
      <c r="H28" s="33"/>
      <c r="I28" s="33"/>
      <c r="J28" s="33"/>
      <c r="K28" s="33"/>
      <c r="L28" s="33"/>
      <c r="M28" s="33"/>
      <c r="N28" s="33"/>
      <c r="O28" s="33"/>
      <c r="P28" s="33"/>
      <c r="Q28" s="33"/>
      <c r="R28" s="33"/>
      <c r="S28" s="33"/>
      <c r="T28" s="33"/>
      <c r="U28" s="33">
        <f>V7</f>
        <v>2251077</v>
      </c>
      <c r="V28" s="33">
        <f>-U28</f>
        <v>-2251077</v>
      </c>
      <c r="W28" s="34">
        <f t="shared" si="3"/>
        <v>0</v>
      </c>
      <c r="X28" s="33"/>
      <c r="Y28" s="34">
        <f t="shared" si="4"/>
        <v>0</v>
      </c>
    </row>
    <row r="29" spans="1:25" ht="12.75" customHeight="1" x14ac:dyDescent="0.2">
      <c r="A29" s="278" t="s">
        <v>426</v>
      </c>
      <c r="B29" s="278"/>
      <c r="C29" s="278"/>
      <c r="D29" s="278"/>
      <c r="E29" s="278"/>
      <c r="F29" s="278"/>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96" t="s">
        <v>427</v>
      </c>
      <c r="B30" s="296"/>
      <c r="C30" s="296"/>
      <c r="D30" s="296"/>
      <c r="E30" s="296"/>
      <c r="F30" s="296"/>
      <c r="G30" s="8">
        <v>24</v>
      </c>
      <c r="H30" s="36">
        <f>SUM(H10:H29)</f>
        <v>14814630</v>
      </c>
      <c r="I30" s="36">
        <f t="shared" ref="I30:Y30" si="5">SUM(I10:I29)</f>
        <v>-33895</v>
      </c>
      <c r="J30" s="36">
        <f t="shared" si="5"/>
        <v>0</v>
      </c>
      <c r="K30" s="36">
        <f t="shared" si="5"/>
        <v>191958</v>
      </c>
      <c r="L30" s="36">
        <f t="shared" si="5"/>
        <v>400340</v>
      </c>
      <c r="M30" s="36">
        <f t="shared" si="5"/>
        <v>0</v>
      </c>
      <c r="N30" s="36">
        <f t="shared" si="5"/>
        <v>0</v>
      </c>
      <c r="O30" s="36">
        <f t="shared" si="5"/>
        <v>1705824</v>
      </c>
      <c r="P30" s="36">
        <f t="shared" si="5"/>
        <v>133711</v>
      </c>
      <c r="Q30" s="36">
        <f t="shared" si="5"/>
        <v>0</v>
      </c>
      <c r="R30" s="36">
        <f t="shared" si="5"/>
        <v>0</v>
      </c>
      <c r="S30" s="36">
        <f t="shared" si="5"/>
        <v>0</v>
      </c>
      <c r="T30" s="36">
        <f t="shared" si="5"/>
        <v>-39171</v>
      </c>
      <c r="U30" s="36">
        <f t="shared" si="5"/>
        <v>-17174719</v>
      </c>
      <c r="V30" s="36">
        <f t="shared" si="5"/>
        <v>6083780</v>
      </c>
      <c r="W30" s="36">
        <f t="shared" si="5"/>
        <v>5281778</v>
      </c>
      <c r="X30" s="36">
        <f t="shared" si="5"/>
        <v>0</v>
      </c>
      <c r="Y30" s="36">
        <f t="shared" si="5"/>
        <v>5281778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-3503292</v>
      </c>
      <c r="P32" s="34">
        <f t="shared" si="6"/>
        <v>0</v>
      </c>
      <c r="Q32" s="34">
        <f t="shared" si="6"/>
        <v>0</v>
      </c>
      <c r="R32" s="34">
        <f t="shared" si="6"/>
        <v>0</v>
      </c>
      <c r="S32" s="34">
        <f t="shared" ref="S32:T32" si="7">SUM(S12:S20)</f>
        <v>0</v>
      </c>
      <c r="T32" s="34">
        <f t="shared" si="7"/>
        <v>321</v>
      </c>
      <c r="U32" s="34">
        <f t="shared" si="6"/>
        <v>4695445</v>
      </c>
      <c r="V32" s="34">
        <f t="shared" si="6"/>
        <v>0</v>
      </c>
      <c r="W32" s="34">
        <f t="shared" si="6"/>
        <v>1192474</v>
      </c>
      <c r="X32" s="34">
        <f t="shared" si="6"/>
        <v>0</v>
      </c>
      <c r="Y32" s="34">
        <f t="shared" si="6"/>
        <v>1192474</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-3503292</v>
      </c>
      <c r="P33" s="34">
        <f t="shared" si="8"/>
        <v>0</v>
      </c>
      <c r="Q33" s="34">
        <f t="shared" si="8"/>
        <v>0</v>
      </c>
      <c r="R33" s="34">
        <f t="shared" si="8"/>
        <v>0</v>
      </c>
      <c r="S33" s="34">
        <f t="shared" ref="S33:T33" si="9">S11+S32</f>
        <v>0</v>
      </c>
      <c r="T33" s="34">
        <f t="shared" si="9"/>
        <v>321</v>
      </c>
      <c r="U33" s="34">
        <f t="shared" si="8"/>
        <v>4695445</v>
      </c>
      <c r="V33" s="34">
        <f t="shared" si="8"/>
        <v>6083780</v>
      </c>
      <c r="W33" s="34">
        <f t="shared" si="8"/>
        <v>7276254</v>
      </c>
      <c r="X33" s="34">
        <f t="shared" si="8"/>
        <v>0</v>
      </c>
      <c r="Y33" s="34">
        <f t="shared" si="8"/>
        <v>7276254</v>
      </c>
    </row>
    <row r="34" spans="1:25" ht="30.75" customHeight="1" x14ac:dyDescent="0.2">
      <c r="A34" s="300" t="s">
        <v>429</v>
      </c>
      <c r="B34" s="300"/>
      <c r="C34" s="300"/>
      <c r="D34" s="300"/>
      <c r="E34" s="300"/>
      <c r="F34" s="300"/>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11590092</v>
      </c>
      <c r="V34" s="36">
        <f t="shared" si="10"/>
        <v>-2251077</v>
      </c>
      <c r="W34" s="36">
        <f t="shared" si="10"/>
        <v>8677540</v>
      </c>
      <c r="X34" s="36">
        <f t="shared" si="10"/>
        <v>0</v>
      </c>
      <c r="Y34" s="36">
        <f t="shared" si="10"/>
        <v>8677540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f>H30</f>
        <v>14814630</v>
      </c>
      <c r="I36" s="33">
        <f t="shared" ref="I36:V36" si="12">I30</f>
        <v>-33895</v>
      </c>
      <c r="J36" s="33">
        <f t="shared" si="12"/>
        <v>0</v>
      </c>
      <c r="K36" s="33">
        <f t="shared" si="12"/>
        <v>191958</v>
      </c>
      <c r="L36" s="33">
        <f t="shared" si="12"/>
        <v>400340</v>
      </c>
      <c r="M36" s="33">
        <f t="shared" si="12"/>
        <v>0</v>
      </c>
      <c r="N36" s="33">
        <f t="shared" si="12"/>
        <v>0</v>
      </c>
      <c r="O36" s="33">
        <f t="shared" si="12"/>
        <v>1705824</v>
      </c>
      <c r="P36" s="33">
        <f t="shared" si="12"/>
        <v>133711</v>
      </c>
      <c r="Q36" s="33">
        <f t="shared" si="12"/>
        <v>0</v>
      </c>
      <c r="R36" s="33">
        <f t="shared" si="12"/>
        <v>0</v>
      </c>
      <c r="S36" s="33">
        <f t="shared" si="12"/>
        <v>0</v>
      </c>
      <c r="T36" s="33">
        <f t="shared" si="12"/>
        <v>-39171</v>
      </c>
      <c r="U36" s="33">
        <f t="shared" si="12"/>
        <v>-17174719</v>
      </c>
      <c r="V36" s="33">
        <f t="shared" si="12"/>
        <v>6083780</v>
      </c>
      <c r="W36" s="37">
        <f>H36+I36+J36+K36-L36+M36+N36+O36+P36+Q36+R36+U36+V36+S36+T36</f>
        <v>5281778</v>
      </c>
      <c r="X36" s="33"/>
      <c r="Y36" s="37">
        <f t="shared" ref="Y36:Y38" si="13">W36+X36</f>
        <v>5281778</v>
      </c>
    </row>
    <row r="37" spans="1:25" ht="12.75" customHeight="1" x14ac:dyDescent="0.2">
      <c r="A37" s="278" t="s">
        <v>265</v>
      </c>
      <c r="B37" s="278"/>
      <c r="C37" s="278"/>
      <c r="D37" s="278"/>
      <c r="E37" s="278"/>
      <c r="F37" s="278"/>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8" t="s">
        <v>266</v>
      </c>
      <c r="B38" s="278"/>
      <c r="C38" s="278"/>
      <c r="D38" s="278"/>
      <c r="E38" s="278"/>
      <c r="F38" s="278"/>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79" t="s">
        <v>430</v>
      </c>
      <c r="B39" s="279"/>
      <c r="C39" s="279"/>
      <c r="D39" s="279"/>
      <c r="E39" s="279"/>
      <c r="F39" s="279"/>
      <c r="G39" s="7">
        <v>31</v>
      </c>
      <c r="H39" s="34">
        <f>H36+H37+H38</f>
        <v>14814630</v>
      </c>
      <c r="I39" s="34">
        <f t="shared" ref="I39:Y39" si="15">I36+I37+I38</f>
        <v>-33895</v>
      </c>
      <c r="J39" s="34">
        <f t="shared" si="15"/>
        <v>0</v>
      </c>
      <c r="K39" s="34">
        <f t="shared" si="15"/>
        <v>191958</v>
      </c>
      <c r="L39" s="34">
        <f t="shared" si="15"/>
        <v>400340</v>
      </c>
      <c r="M39" s="34">
        <f t="shared" si="15"/>
        <v>0</v>
      </c>
      <c r="N39" s="34">
        <f t="shared" si="15"/>
        <v>0</v>
      </c>
      <c r="O39" s="34">
        <f t="shared" si="15"/>
        <v>1705824</v>
      </c>
      <c r="P39" s="34">
        <f t="shared" si="15"/>
        <v>133711</v>
      </c>
      <c r="Q39" s="34">
        <f t="shared" si="15"/>
        <v>0</v>
      </c>
      <c r="R39" s="34">
        <f t="shared" si="15"/>
        <v>0</v>
      </c>
      <c r="S39" s="34">
        <f t="shared" si="15"/>
        <v>0</v>
      </c>
      <c r="T39" s="34">
        <f t="shared" si="15"/>
        <v>-39171</v>
      </c>
      <c r="U39" s="34">
        <f t="shared" si="15"/>
        <v>-17174719</v>
      </c>
      <c r="V39" s="34">
        <f t="shared" si="15"/>
        <v>6083780</v>
      </c>
      <c r="W39" s="34">
        <f t="shared" si="15"/>
        <v>5281778</v>
      </c>
      <c r="X39" s="34">
        <f t="shared" si="15"/>
        <v>0</v>
      </c>
      <c r="Y39" s="34">
        <f t="shared" si="15"/>
        <v>5281778</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c r="T40" s="33"/>
      <c r="U40" s="35">
        <v>0</v>
      </c>
      <c r="V40" s="33">
        <f>Bilanca!I95</f>
        <v>889803</v>
      </c>
      <c r="W40" s="37">
        <f t="shared" ref="W40:W58" si="16">H40+I40+J40+K40-L40+M40+N40+O40+P40+Q40+R40+U40+V40+S40+T40</f>
        <v>889803</v>
      </c>
      <c r="X40" s="33"/>
      <c r="Y40" s="37">
        <f t="shared" ref="Y40:Y58" si="17">W40+X40</f>
        <v>889803</v>
      </c>
    </row>
    <row r="41" spans="1:25" ht="12.75" customHeight="1" x14ac:dyDescent="0.2">
      <c r="A41" s="278" t="s">
        <v>268</v>
      </c>
      <c r="B41" s="278"/>
      <c r="C41" s="278"/>
      <c r="D41" s="278"/>
      <c r="E41" s="278"/>
      <c r="F41" s="278"/>
      <c r="G41" s="6">
        <v>33</v>
      </c>
      <c r="H41" s="35">
        <v>0</v>
      </c>
      <c r="I41" s="35">
        <v>0</v>
      </c>
      <c r="J41" s="35">
        <v>0</v>
      </c>
      <c r="K41" s="35">
        <v>0</v>
      </c>
      <c r="L41" s="35">
        <v>0</v>
      </c>
      <c r="M41" s="35">
        <v>0</v>
      </c>
      <c r="N41" s="33"/>
      <c r="O41" s="35">
        <v>0</v>
      </c>
      <c r="P41" s="35">
        <v>0</v>
      </c>
      <c r="Q41" s="35">
        <v>0</v>
      </c>
      <c r="R41" s="35">
        <v>0</v>
      </c>
      <c r="S41" s="33"/>
      <c r="T41" s="33">
        <f>Bilanca!I90-Bilanca!H90</f>
        <v>-60055</v>
      </c>
      <c r="U41" s="35">
        <v>0</v>
      </c>
      <c r="V41" s="35">
        <v>0</v>
      </c>
      <c r="W41" s="37">
        <f t="shared" si="16"/>
        <v>-60055</v>
      </c>
      <c r="X41" s="33"/>
      <c r="Y41" s="37">
        <f t="shared" si="17"/>
        <v>-60055</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f>Bilanca!I84-Bilanca!H84</f>
        <v>-286451.87000000011</v>
      </c>
      <c r="P42" s="35">
        <v>0</v>
      </c>
      <c r="Q42" s="35">
        <v>0</v>
      </c>
      <c r="R42" s="35">
        <v>0</v>
      </c>
      <c r="S42" s="33"/>
      <c r="T42" s="33"/>
      <c r="U42" s="33">
        <v>348560</v>
      </c>
      <c r="V42" s="33"/>
      <c r="W42" s="37">
        <f t="shared" si="16"/>
        <v>62108.129999999888</v>
      </c>
      <c r="X42" s="33"/>
      <c r="Y42" s="37">
        <f t="shared" si="17"/>
        <v>62108.129999999888</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8" t="s">
        <v>281</v>
      </c>
      <c r="B46" s="278"/>
      <c r="C46" s="278"/>
      <c r="D46" s="278"/>
      <c r="E46" s="278"/>
      <c r="F46" s="278"/>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8" t="s">
        <v>273</v>
      </c>
      <c r="B47" s="278"/>
      <c r="C47" s="278"/>
      <c r="D47" s="278"/>
      <c r="E47" s="278"/>
      <c r="F47" s="278"/>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8" t="s">
        <v>274</v>
      </c>
      <c r="B48" s="278"/>
      <c r="C48" s="278"/>
      <c r="D48" s="278"/>
      <c r="E48" s="278"/>
      <c r="F48" s="278"/>
      <c r="G48" s="6">
        <v>40</v>
      </c>
      <c r="H48" s="33"/>
      <c r="I48" s="33"/>
      <c r="J48" s="33"/>
      <c r="K48" s="33"/>
      <c r="L48" s="33"/>
      <c r="M48" s="33"/>
      <c r="N48" s="33"/>
      <c r="O48" s="33"/>
      <c r="P48" s="33"/>
      <c r="Q48" s="33"/>
      <c r="R48" s="33"/>
      <c r="S48" s="33"/>
      <c r="T48" s="33"/>
      <c r="U48" s="33"/>
      <c r="V48" s="33"/>
      <c r="W48" s="37">
        <f t="shared" si="16"/>
        <v>0</v>
      </c>
      <c r="X48" s="33"/>
      <c r="Y48" s="37">
        <f t="shared" si="17"/>
        <v>0</v>
      </c>
    </row>
    <row r="49" spans="1:25" ht="12.75" customHeight="1" x14ac:dyDescent="0.2">
      <c r="A49" s="278" t="s">
        <v>275</v>
      </c>
      <c r="B49" s="278"/>
      <c r="C49" s="278"/>
      <c r="D49" s="278"/>
      <c r="E49" s="278"/>
      <c r="F49" s="278"/>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8" t="s">
        <v>420</v>
      </c>
      <c r="B50" s="278"/>
      <c r="C50" s="278"/>
      <c r="D50" s="278"/>
      <c r="E50" s="278"/>
      <c r="F50" s="278"/>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8" t="s">
        <v>421</v>
      </c>
      <c r="B51" s="278"/>
      <c r="C51" s="278"/>
      <c r="D51" s="278"/>
      <c r="E51" s="278"/>
      <c r="F51" s="278"/>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8" t="s">
        <v>422</v>
      </c>
      <c r="B52" s="278"/>
      <c r="C52" s="278"/>
      <c r="D52" s="278"/>
      <c r="E52" s="278"/>
      <c r="F52" s="278"/>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8" t="s">
        <v>276</v>
      </c>
      <c r="B53" s="278"/>
      <c r="C53" s="278"/>
      <c r="D53" s="278"/>
      <c r="E53" s="278"/>
      <c r="F53" s="278"/>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8" t="s">
        <v>423</v>
      </c>
      <c r="B54" s="278"/>
      <c r="C54" s="278"/>
      <c r="D54" s="278"/>
      <c r="E54" s="278"/>
      <c r="F54" s="278"/>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8" t="s">
        <v>431</v>
      </c>
      <c r="B55" s="278"/>
      <c r="C55" s="278"/>
      <c r="D55" s="278"/>
      <c r="E55" s="278"/>
      <c r="F55" s="278"/>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8" t="s">
        <v>424</v>
      </c>
      <c r="B56" s="278"/>
      <c r="C56" s="278"/>
      <c r="D56" s="278"/>
      <c r="E56" s="278"/>
      <c r="F56" s="278"/>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8" t="s">
        <v>432</v>
      </c>
      <c r="B57" s="278"/>
      <c r="C57" s="278"/>
      <c r="D57" s="278"/>
      <c r="E57" s="278"/>
      <c r="F57" s="278"/>
      <c r="G57" s="6">
        <v>49</v>
      </c>
      <c r="H57" s="33"/>
      <c r="I57" s="33"/>
      <c r="J57" s="33"/>
      <c r="K57" s="33"/>
      <c r="L57" s="33"/>
      <c r="M57" s="33"/>
      <c r="N57" s="33"/>
      <c r="O57" s="33"/>
      <c r="P57" s="33"/>
      <c r="Q57" s="33"/>
      <c r="R57" s="33"/>
      <c r="S57" s="33"/>
      <c r="T57" s="33"/>
      <c r="U57" s="33">
        <f>V36</f>
        <v>6083780</v>
      </c>
      <c r="V57" s="33">
        <f>-U57</f>
        <v>-6083780</v>
      </c>
      <c r="W57" s="37">
        <f t="shared" si="16"/>
        <v>0</v>
      </c>
      <c r="X57" s="33"/>
      <c r="Y57" s="37">
        <f t="shared" si="17"/>
        <v>0</v>
      </c>
    </row>
    <row r="58" spans="1:25" ht="12.75" customHeight="1" x14ac:dyDescent="0.2">
      <c r="A58" s="278" t="s">
        <v>426</v>
      </c>
      <c r="B58" s="278"/>
      <c r="C58" s="278"/>
      <c r="D58" s="278"/>
      <c r="E58" s="278"/>
      <c r="F58" s="278"/>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96" t="s">
        <v>433</v>
      </c>
      <c r="B59" s="296"/>
      <c r="C59" s="296"/>
      <c r="D59" s="296"/>
      <c r="E59" s="296"/>
      <c r="F59" s="296"/>
      <c r="G59" s="8">
        <v>51</v>
      </c>
      <c r="H59" s="36">
        <f>SUM(H39:H58)</f>
        <v>14814630</v>
      </c>
      <c r="I59" s="36">
        <f t="shared" ref="I59:Y59" si="18">SUM(I39:I58)</f>
        <v>-33895</v>
      </c>
      <c r="J59" s="36">
        <f t="shared" si="18"/>
        <v>0</v>
      </c>
      <c r="K59" s="36">
        <f t="shared" si="18"/>
        <v>191958</v>
      </c>
      <c r="L59" s="36">
        <f t="shared" si="18"/>
        <v>400340</v>
      </c>
      <c r="M59" s="36">
        <f t="shared" si="18"/>
        <v>0</v>
      </c>
      <c r="N59" s="36">
        <f t="shared" si="18"/>
        <v>0</v>
      </c>
      <c r="O59" s="36">
        <f t="shared" si="18"/>
        <v>1419372.13</v>
      </c>
      <c r="P59" s="36">
        <f t="shared" si="18"/>
        <v>133711</v>
      </c>
      <c r="Q59" s="36">
        <f t="shared" si="18"/>
        <v>0</v>
      </c>
      <c r="R59" s="36">
        <f t="shared" si="18"/>
        <v>0</v>
      </c>
      <c r="S59" s="36">
        <f t="shared" si="18"/>
        <v>0</v>
      </c>
      <c r="T59" s="36">
        <f t="shared" si="18"/>
        <v>-99226</v>
      </c>
      <c r="U59" s="36">
        <f t="shared" si="18"/>
        <v>-10742379</v>
      </c>
      <c r="V59" s="36">
        <f t="shared" si="18"/>
        <v>889803</v>
      </c>
      <c r="W59" s="36">
        <f t="shared" si="18"/>
        <v>6173634.1299999999</v>
      </c>
      <c r="X59" s="36">
        <f t="shared" si="18"/>
        <v>0</v>
      </c>
      <c r="Y59" s="36">
        <f t="shared" si="18"/>
        <v>6173634.1299999999</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-286451.87000000011</v>
      </c>
      <c r="P61" s="37">
        <f t="shared" si="19"/>
        <v>0</v>
      </c>
      <c r="Q61" s="37">
        <f t="shared" si="19"/>
        <v>0</v>
      </c>
      <c r="R61" s="37">
        <f t="shared" si="19"/>
        <v>0</v>
      </c>
      <c r="S61" s="37">
        <f t="shared" ref="S61:T61" si="20">SUM(S41:S49)</f>
        <v>0</v>
      </c>
      <c r="T61" s="37">
        <f t="shared" si="20"/>
        <v>-60055</v>
      </c>
      <c r="U61" s="37">
        <f t="shared" si="19"/>
        <v>348560</v>
      </c>
      <c r="V61" s="37">
        <f t="shared" si="19"/>
        <v>0</v>
      </c>
      <c r="W61" s="37">
        <f t="shared" si="19"/>
        <v>2053.1299999998882</v>
      </c>
      <c r="X61" s="37">
        <f t="shared" si="19"/>
        <v>0</v>
      </c>
      <c r="Y61" s="37">
        <f t="shared" si="19"/>
        <v>2053.1299999998882</v>
      </c>
    </row>
    <row r="62" spans="1:25" ht="27.75" customHeight="1" x14ac:dyDescent="0.2">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-286451.87000000011</v>
      </c>
      <c r="P62" s="37">
        <f t="shared" si="21"/>
        <v>0</v>
      </c>
      <c r="Q62" s="37">
        <f t="shared" si="21"/>
        <v>0</v>
      </c>
      <c r="R62" s="37">
        <f t="shared" si="21"/>
        <v>0</v>
      </c>
      <c r="S62" s="37">
        <f t="shared" ref="S62:T62" si="22">S40+S61</f>
        <v>0</v>
      </c>
      <c r="T62" s="37">
        <f t="shared" si="22"/>
        <v>-60055</v>
      </c>
      <c r="U62" s="37">
        <f t="shared" si="21"/>
        <v>348560</v>
      </c>
      <c r="V62" s="37">
        <f t="shared" si="21"/>
        <v>889803</v>
      </c>
      <c r="W62" s="37">
        <f t="shared" si="21"/>
        <v>891856.12999999989</v>
      </c>
      <c r="X62" s="37">
        <f t="shared" si="21"/>
        <v>0</v>
      </c>
      <c r="Y62" s="37">
        <f t="shared" si="21"/>
        <v>891856.12999999989</v>
      </c>
    </row>
    <row r="63" spans="1:25" ht="29.25" customHeight="1" x14ac:dyDescent="0.2">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6083780</v>
      </c>
      <c r="V63" s="38">
        <f t="shared" si="23"/>
        <v>-6083780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activeCell="L5" sqref="L5"/>
    </sheetView>
  </sheetViews>
  <sheetFormatPr defaultRowHeight="12.75" x14ac:dyDescent="0.2"/>
  <cols>
    <col min="9" max="9" width="95" customWidth="1"/>
  </cols>
  <sheetData>
    <row r="1" spans="1:9" ht="30" customHeight="1" x14ac:dyDescent="0.2">
      <c r="A1" s="302" t="s">
        <v>463</v>
      </c>
      <c r="B1" s="302"/>
      <c r="C1" s="302"/>
      <c r="D1" s="302"/>
      <c r="E1" s="302"/>
      <c r="F1" s="302"/>
      <c r="G1" s="302"/>
      <c r="H1" s="302"/>
      <c r="I1" s="302"/>
    </row>
    <row r="2" spans="1:9" ht="30" customHeight="1" x14ac:dyDescent="0.2">
      <c r="A2" s="302"/>
      <c r="B2" s="302"/>
      <c r="C2" s="302"/>
      <c r="D2" s="302"/>
      <c r="E2" s="302"/>
      <c r="F2" s="302"/>
      <c r="G2" s="302"/>
      <c r="H2" s="302"/>
      <c r="I2" s="302"/>
    </row>
    <row r="3" spans="1:9" ht="30" customHeight="1" x14ac:dyDescent="0.2">
      <c r="A3" s="302"/>
      <c r="B3" s="302"/>
      <c r="C3" s="302"/>
      <c r="D3" s="302"/>
      <c r="E3" s="302"/>
      <c r="F3" s="302"/>
      <c r="G3" s="302"/>
      <c r="H3" s="302"/>
      <c r="I3" s="302"/>
    </row>
    <row r="4" spans="1:9" ht="49.5" customHeight="1" x14ac:dyDescent="0.2">
      <c r="A4" s="302"/>
      <c r="B4" s="302"/>
      <c r="C4" s="302"/>
      <c r="D4" s="302"/>
      <c r="E4" s="302"/>
      <c r="F4" s="302"/>
      <c r="G4" s="302"/>
      <c r="H4" s="302"/>
      <c r="I4" s="302"/>
    </row>
    <row r="5" spans="1:9" ht="49.5" customHeight="1" x14ac:dyDescent="0.2">
      <c r="A5" s="302"/>
      <c r="B5" s="302"/>
      <c r="C5" s="302"/>
      <c r="D5" s="302"/>
      <c r="E5" s="302"/>
      <c r="F5" s="302"/>
      <c r="G5" s="302"/>
      <c r="H5" s="302"/>
      <c r="I5" s="302"/>
    </row>
    <row r="6" spans="1:9" ht="49.5" customHeight="1" x14ac:dyDescent="0.2">
      <c r="A6" s="302"/>
      <c r="B6" s="302"/>
      <c r="C6" s="302"/>
      <c r="D6" s="302"/>
      <c r="E6" s="302"/>
      <c r="F6" s="302"/>
      <c r="G6" s="302"/>
      <c r="H6" s="302"/>
      <c r="I6" s="302"/>
    </row>
    <row r="7" spans="1:9" ht="49.5" customHeight="1" x14ac:dyDescent="0.2">
      <c r="A7" s="302"/>
      <c r="B7" s="302"/>
      <c r="C7" s="302"/>
      <c r="D7" s="302"/>
      <c r="E7" s="302"/>
      <c r="F7" s="302"/>
      <c r="G7" s="302"/>
      <c r="H7" s="302"/>
      <c r="I7" s="302"/>
    </row>
    <row r="8" spans="1:9" ht="49.5" customHeight="1" x14ac:dyDescent="0.2">
      <c r="A8" s="302"/>
      <c r="B8" s="302"/>
      <c r="C8" s="302"/>
      <c r="D8" s="302"/>
      <c r="E8" s="302"/>
      <c r="F8" s="302"/>
      <c r="G8" s="302"/>
      <c r="H8" s="302"/>
      <c r="I8" s="302"/>
    </row>
    <row r="9" spans="1:9" ht="49.5" customHeight="1" x14ac:dyDescent="0.2">
      <c r="A9" s="302"/>
      <c r="B9" s="302"/>
      <c r="C9" s="302"/>
      <c r="D9" s="302"/>
      <c r="E9" s="302"/>
      <c r="F9" s="302"/>
      <c r="G9" s="302"/>
      <c r="H9" s="302"/>
      <c r="I9" s="302"/>
    </row>
    <row r="10" spans="1:9" ht="49.5" customHeight="1" x14ac:dyDescent="0.2">
      <c r="A10" s="302"/>
      <c r="B10" s="302"/>
      <c r="C10" s="302"/>
      <c r="D10" s="302"/>
      <c r="E10" s="302"/>
      <c r="F10" s="302"/>
      <c r="G10" s="302"/>
      <c r="H10" s="302"/>
      <c r="I10" s="302"/>
    </row>
    <row r="11" spans="1:9" ht="49.5" customHeight="1" x14ac:dyDescent="0.2">
      <c r="A11" s="302"/>
      <c r="B11" s="302"/>
      <c r="C11" s="302"/>
      <c r="D11" s="302"/>
      <c r="E11" s="302"/>
      <c r="F11" s="302"/>
      <c r="G11" s="302"/>
      <c r="H11" s="302"/>
      <c r="I11" s="302"/>
    </row>
    <row r="12" spans="1:9" ht="49.5" customHeight="1" x14ac:dyDescent="0.2">
      <c r="A12" s="302"/>
      <c r="B12" s="302"/>
      <c r="C12" s="302"/>
      <c r="D12" s="302"/>
      <c r="E12" s="302"/>
      <c r="F12" s="302"/>
      <c r="G12" s="302"/>
      <c r="H12" s="302"/>
      <c r="I12" s="302"/>
    </row>
    <row r="13" spans="1:9" ht="49.5" customHeight="1" x14ac:dyDescent="0.2">
      <c r="A13" s="302"/>
      <c r="B13" s="302"/>
      <c r="C13" s="302"/>
      <c r="D13" s="302"/>
      <c r="E13" s="302"/>
      <c r="F13" s="302"/>
      <c r="G13" s="302"/>
      <c r="H13" s="302"/>
      <c r="I13" s="302"/>
    </row>
    <row r="14" spans="1:9" ht="49.5" customHeight="1" x14ac:dyDescent="0.2">
      <c r="A14" s="302"/>
      <c r="B14" s="302"/>
      <c r="C14" s="302"/>
      <c r="D14" s="302"/>
      <c r="E14" s="302"/>
      <c r="F14" s="302"/>
      <c r="G14" s="302"/>
      <c r="H14" s="302"/>
      <c r="I14" s="302"/>
    </row>
    <row r="15" spans="1:9" ht="49.5" customHeight="1" x14ac:dyDescent="0.2">
      <c r="A15" s="302"/>
      <c r="B15" s="302"/>
      <c r="C15" s="302"/>
      <c r="D15" s="302"/>
      <c r="E15" s="302"/>
      <c r="F15" s="302"/>
      <c r="G15" s="302"/>
      <c r="H15" s="302"/>
      <c r="I15" s="302"/>
    </row>
    <row r="16" spans="1:9" ht="49.5" customHeight="1" x14ac:dyDescent="0.2">
      <c r="A16" s="302"/>
      <c r="B16" s="302"/>
      <c r="C16" s="302"/>
      <c r="D16" s="302"/>
      <c r="E16" s="302"/>
      <c r="F16" s="302"/>
      <c r="G16" s="302"/>
      <c r="H16" s="302"/>
      <c r="I16" s="302"/>
    </row>
    <row r="17" spans="1:9" ht="49.5" customHeight="1" x14ac:dyDescent="0.2">
      <c r="A17" s="302"/>
      <c r="B17" s="302"/>
      <c r="C17" s="302"/>
      <c r="D17" s="302"/>
      <c r="E17" s="302"/>
      <c r="F17" s="302"/>
      <c r="G17" s="302"/>
      <c r="H17" s="302"/>
      <c r="I17" s="302"/>
    </row>
    <row r="18" spans="1:9" ht="49.5" customHeight="1" x14ac:dyDescent="0.2">
      <c r="A18" s="302"/>
      <c r="B18" s="302"/>
      <c r="C18" s="302"/>
      <c r="D18" s="302"/>
      <c r="E18" s="302"/>
      <c r="F18" s="302"/>
      <c r="G18" s="302"/>
      <c r="H18" s="302"/>
      <c r="I18" s="302"/>
    </row>
    <row r="19" spans="1:9" ht="49.5" customHeight="1" x14ac:dyDescent="0.2">
      <c r="A19" s="302"/>
      <c r="B19" s="302"/>
      <c r="C19" s="302"/>
      <c r="D19" s="302"/>
      <c r="E19" s="302"/>
      <c r="F19" s="302"/>
      <c r="G19" s="302"/>
      <c r="H19" s="302"/>
      <c r="I19" s="302"/>
    </row>
    <row r="20" spans="1:9" ht="49.5" customHeight="1" x14ac:dyDescent="0.2">
      <c r="A20" s="302"/>
      <c r="B20" s="302"/>
      <c r="C20" s="302"/>
      <c r="D20" s="302"/>
      <c r="E20" s="302"/>
      <c r="F20" s="302"/>
      <c r="G20" s="302"/>
      <c r="H20" s="302"/>
      <c r="I20" s="302"/>
    </row>
    <row r="21" spans="1:9" ht="49.5" customHeight="1" x14ac:dyDescent="0.2">
      <c r="A21" s="302"/>
      <c r="B21" s="302"/>
      <c r="C21" s="302"/>
      <c r="D21" s="302"/>
      <c r="E21" s="302"/>
      <c r="F21" s="302"/>
      <c r="G21" s="302"/>
      <c r="H21" s="302"/>
      <c r="I21" s="302"/>
    </row>
    <row r="22" spans="1:9" ht="49.5" customHeight="1" x14ac:dyDescent="0.2">
      <c r="A22" s="302"/>
      <c r="B22" s="302"/>
      <c r="C22" s="302"/>
      <c r="D22" s="302"/>
      <c r="E22" s="302"/>
      <c r="F22" s="302"/>
      <c r="G22" s="302"/>
      <c r="H22" s="302"/>
      <c r="I22" s="302"/>
    </row>
    <row r="23" spans="1:9" ht="49.5" customHeight="1" x14ac:dyDescent="0.2">
      <c r="A23" s="302"/>
      <c r="B23" s="302"/>
      <c r="C23" s="302"/>
      <c r="D23" s="302"/>
      <c r="E23" s="302"/>
      <c r="F23" s="302"/>
      <c r="G23" s="302"/>
      <c r="H23" s="302"/>
      <c r="I23" s="302"/>
    </row>
    <row r="24" spans="1:9" ht="49.5" customHeight="1" x14ac:dyDescent="0.2">
      <c r="A24" s="302"/>
      <c r="B24" s="302"/>
      <c r="C24" s="302"/>
      <c r="D24" s="302"/>
      <c r="E24" s="302"/>
      <c r="F24" s="302"/>
      <c r="G24" s="302"/>
      <c r="H24" s="302"/>
      <c r="I24" s="302"/>
    </row>
    <row r="25" spans="1:9" ht="54" customHeight="1" x14ac:dyDescent="0.2">
      <c r="A25" s="302"/>
      <c r="B25" s="302"/>
      <c r="C25" s="302"/>
      <c r="D25" s="302"/>
      <c r="E25" s="302"/>
      <c r="F25" s="302"/>
      <c r="G25" s="302"/>
      <c r="H25" s="302"/>
      <c r="I25" s="302"/>
    </row>
    <row r="26" spans="1:9" ht="21" customHeight="1" x14ac:dyDescent="0.2">
      <c r="A26" s="302"/>
      <c r="B26" s="302"/>
      <c r="C26" s="302"/>
      <c r="D26" s="302"/>
      <c r="E26" s="302"/>
      <c r="F26" s="302"/>
      <c r="G26" s="302"/>
      <c r="H26" s="302"/>
      <c r="I26" s="302"/>
    </row>
    <row r="27" spans="1:9" ht="21" customHeight="1" x14ac:dyDescent="0.2">
      <c r="A27" s="302"/>
      <c r="B27" s="302"/>
      <c r="C27" s="302"/>
      <c r="D27" s="302"/>
      <c r="E27" s="302"/>
      <c r="F27" s="302"/>
      <c r="G27" s="302"/>
      <c r="H27" s="302"/>
      <c r="I27" s="302"/>
    </row>
    <row r="28" spans="1:9" ht="21" customHeight="1" x14ac:dyDescent="0.2">
      <c r="A28" s="302"/>
      <c r="B28" s="302"/>
      <c r="C28" s="302"/>
      <c r="D28" s="302"/>
      <c r="E28" s="302"/>
      <c r="F28" s="302"/>
      <c r="G28" s="302"/>
      <c r="H28" s="302"/>
      <c r="I28" s="302"/>
    </row>
    <row r="29" spans="1:9" ht="21" customHeight="1" x14ac:dyDescent="0.2">
      <c r="A29" s="302"/>
      <c r="B29" s="302"/>
      <c r="C29" s="302"/>
      <c r="D29" s="302"/>
      <c r="E29" s="302"/>
      <c r="F29" s="302"/>
      <c r="G29" s="302"/>
      <c r="H29" s="302"/>
      <c r="I29" s="302"/>
    </row>
    <row r="30" spans="1:9" ht="21" customHeight="1" x14ac:dyDescent="0.2">
      <c r="A30" s="302"/>
      <c r="B30" s="302"/>
      <c r="C30" s="302"/>
      <c r="D30" s="302"/>
      <c r="E30" s="302"/>
      <c r="F30" s="302"/>
      <c r="G30" s="302"/>
      <c r="H30" s="302"/>
      <c r="I30" s="302"/>
    </row>
    <row r="31" spans="1:9" ht="21" customHeight="1" x14ac:dyDescent="0.2">
      <c r="A31" s="302"/>
      <c r="B31" s="302"/>
      <c r="C31" s="302"/>
      <c r="D31" s="302"/>
      <c r="E31" s="302"/>
      <c r="F31" s="302"/>
      <c r="G31" s="302"/>
      <c r="H31" s="302"/>
      <c r="I31" s="302"/>
    </row>
    <row r="32" spans="1:9" ht="21" customHeight="1" x14ac:dyDescent="0.2">
      <c r="A32" s="302"/>
      <c r="B32" s="302"/>
      <c r="C32" s="302"/>
      <c r="D32" s="302"/>
      <c r="E32" s="302"/>
      <c r="F32" s="302"/>
      <c r="G32" s="302"/>
      <c r="H32" s="302"/>
      <c r="I32" s="302"/>
    </row>
    <row r="33" spans="1:9" ht="21" customHeight="1" x14ac:dyDescent="0.2">
      <c r="A33" s="302"/>
      <c r="B33" s="302"/>
      <c r="C33" s="302"/>
      <c r="D33" s="302"/>
      <c r="E33" s="302"/>
      <c r="F33" s="302"/>
      <c r="G33" s="302"/>
      <c r="H33" s="302"/>
      <c r="I33" s="302"/>
    </row>
    <row r="34" spans="1:9" ht="21" customHeight="1" x14ac:dyDescent="0.2">
      <c r="A34" s="302"/>
      <c r="B34" s="302"/>
      <c r="C34" s="302"/>
      <c r="D34" s="302"/>
      <c r="E34" s="302"/>
      <c r="F34" s="302"/>
      <c r="G34" s="302"/>
      <c r="H34" s="302"/>
      <c r="I34" s="302"/>
    </row>
    <row r="35" spans="1:9" ht="21" customHeight="1" x14ac:dyDescent="0.2">
      <c r="A35" s="302"/>
      <c r="B35" s="302"/>
      <c r="C35" s="302"/>
      <c r="D35" s="302"/>
      <c r="E35" s="302"/>
      <c r="F35" s="302"/>
      <c r="G35" s="302"/>
      <c r="H35" s="302"/>
      <c r="I35" s="302"/>
    </row>
    <row r="36" spans="1:9" ht="21" customHeight="1" x14ac:dyDescent="0.2">
      <c r="A36" s="302"/>
      <c r="B36" s="302"/>
      <c r="C36" s="302"/>
      <c r="D36" s="302"/>
      <c r="E36" s="302"/>
      <c r="F36" s="302"/>
      <c r="G36" s="302"/>
      <c r="H36" s="302"/>
      <c r="I36" s="302"/>
    </row>
    <row r="37" spans="1:9" ht="21" customHeight="1" x14ac:dyDescent="0.2">
      <c r="A37" s="302"/>
      <c r="B37" s="302"/>
      <c r="C37" s="302"/>
      <c r="D37" s="302"/>
      <c r="E37" s="302"/>
      <c r="F37" s="302"/>
      <c r="G37" s="302"/>
      <c r="H37" s="302"/>
      <c r="I37" s="302"/>
    </row>
    <row r="38" spans="1:9" ht="21" customHeight="1" x14ac:dyDescent="0.2">
      <c r="A38" s="302"/>
      <c r="B38" s="302"/>
      <c r="C38" s="302"/>
      <c r="D38" s="302"/>
      <c r="E38" s="302"/>
      <c r="F38" s="302"/>
      <c r="G38" s="302"/>
      <c r="H38" s="302"/>
      <c r="I38" s="302"/>
    </row>
    <row r="39" spans="1:9" ht="21" customHeight="1" x14ac:dyDescent="0.2">
      <c r="A39" s="302"/>
      <c r="B39" s="302"/>
      <c r="C39" s="302"/>
      <c r="D39" s="302"/>
      <c r="E39" s="302"/>
      <c r="F39" s="302"/>
      <c r="G39" s="302"/>
      <c r="H39" s="302"/>
      <c r="I39" s="302"/>
    </row>
    <row r="40" spans="1:9" ht="21"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Bilješke!_Hlk160047679</vt:lpstr>
      <vt:lpstr>Bilješke!_Hlk181031889</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2025-02-26T23:14:19Z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