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Dropbox\Dropbox\Poslovni podaci\Mon Perin d.o.o\Mon Perin 2022\Burza\Izvještaj 4. kvartal\Za objavu\Grupa Mon Perin\"/>
    </mc:Choice>
  </mc:AlternateContent>
  <xr:revisionPtr revIDLastSave="0" documentId="13_ncr:1_{004328DA-D856-414E-95C4-7B305BFC9919}" xr6:coauthVersionLast="47" xr6:coauthVersionMax="47" xr10:uidLastSave="{00000000-0000-0000-0000-000000000000}"/>
  <workbookProtection workbookAlgorithmName="SHA-512" workbookHashValue="mp6iFjVYV62xwL5bIIFu82qfDAE9JYOQ8wBcYjtlRPfX5TjUyHBW992/WTLRAeWlZ82zLoHg4CmEAV8Tg+42nA==" workbookSaltValue="WqE0bTw4AdRq6oRIAxITkQ==" workbookSpinCount="100000" lockStructure="1"/>
  <bookViews>
    <workbookView xWindow="0" yWindow="0" windowWidth="18484" windowHeight="14862" tabRatio="714" activeTab="2" xr2:uid="{00000000-000D-0000-FFFF-FFFF00000000}"/>
  </bookViews>
  <sheets>
    <sheet name="General Data" sheetId="1" r:id="rId1"/>
    <sheet name="Balance Sheet" sheetId="2" r:id="rId2"/>
    <sheet name="P&amp;L" sheetId="3" r:id="rId3"/>
    <sheet name="CF_I" sheetId="4" r:id="rId4"/>
    <sheet name="CF_D" sheetId="5" r:id="rId5"/>
    <sheet name="SOCE" sheetId="7" r:id="rId6"/>
    <sheet name="Notes" sheetId="6" r:id="rId7"/>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63" i="7" l="1"/>
  <c r="X63" i="7"/>
  <c r="W63" i="7"/>
  <c r="V63" i="7"/>
  <c r="U63" i="7"/>
  <c r="T63" i="7"/>
  <c r="S63" i="7"/>
  <c r="R63" i="7"/>
  <c r="Q63" i="7"/>
  <c r="P63" i="7"/>
  <c r="O63" i="7"/>
  <c r="N63" i="7"/>
  <c r="M63" i="7"/>
  <c r="L63" i="7"/>
  <c r="K63" i="7"/>
  <c r="J63" i="7"/>
  <c r="I63" i="7"/>
  <c r="H63" i="7"/>
  <c r="W62" i="7"/>
  <c r="V62" i="7"/>
  <c r="S62" i="7"/>
  <c r="R62" i="7"/>
  <c r="O62" i="7"/>
  <c r="N62" i="7"/>
  <c r="K62" i="7"/>
  <c r="J62" i="7"/>
  <c r="Y61" i="7"/>
  <c r="Y62" i="7" s="1"/>
  <c r="X61" i="7"/>
  <c r="X62" i="7" s="1"/>
  <c r="W61" i="7"/>
  <c r="V61" i="7"/>
  <c r="U61" i="7"/>
  <c r="U62" i="7" s="1"/>
  <c r="T61" i="7"/>
  <c r="T62" i="7" s="1"/>
  <c r="S61" i="7"/>
  <c r="R61" i="7"/>
  <c r="Q61" i="7"/>
  <c r="Q62" i="7" s="1"/>
  <c r="P61" i="7"/>
  <c r="P62" i="7" s="1"/>
  <c r="O61" i="7"/>
  <c r="N61" i="7"/>
  <c r="M61" i="7"/>
  <c r="M62" i="7" s="1"/>
  <c r="L61" i="7"/>
  <c r="L62" i="7" s="1"/>
  <c r="K61" i="7"/>
  <c r="J61" i="7"/>
  <c r="I61" i="7"/>
  <c r="I62" i="7" s="1"/>
  <c r="H61" i="7"/>
  <c r="H62" i="7" s="1"/>
  <c r="Q59" i="7"/>
  <c r="M59" i="7"/>
  <c r="I59" i="7"/>
  <c r="W58" i="7"/>
  <c r="Y58" i="7" s="1"/>
  <c r="Y57" i="7"/>
  <c r="W57" i="7"/>
  <c r="W56" i="7"/>
  <c r="Y56" i="7" s="1"/>
  <c r="Y55" i="7"/>
  <c r="W55" i="7"/>
  <c r="W54" i="7"/>
  <c r="Y54" i="7" s="1"/>
  <c r="Y53" i="7"/>
  <c r="W53" i="7"/>
  <c r="W52" i="7"/>
  <c r="Y52" i="7" s="1"/>
  <c r="Y51" i="7"/>
  <c r="W51" i="7"/>
  <c r="W50" i="7"/>
  <c r="Y50" i="7" s="1"/>
  <c r="Y49" i="7"/>
  <c r="W49" i="7"/>
  <c r="W48" i="7"/>
  <c r="Y48" i="7" s="1"/>
  <c r="Y47" i="7"/>
  <c r="W47" i="7"/>
  <c r="W46" i="7"/>
  <c r="Y46" i="7" s="1"/>
  <c r="Y45" i="7"/>
  <c r="W45" i="7"/>
  <c r="U44" i="7"/>
  <c r="W44" i="7" s="1"/>
  <c r="Y44" i="7" s="1"/>
  <c r="W43" i="7"/>
  <c r="Y43" i="7" s="1"/>
  <c r="W42" i="7"/>
  <c r="Y42" i="7" s="1"/>
  <c r="W41" i="7"/>
  <c r="Y41" i="7" s="1"/>
  <c r="W40" i="7"/>
  <c r="Y40" i="7" s="1"/>
  <c r="X39" i="7"/>
  <c r="X59" i="7" s="1"/>
  <c r="V39" i="7"/>
  <c r="V59" i="7" s="1"/>
  <c r="U39" i="7"/>
  <c r="T39" i="7"/>
  <c r="T59" i="7" s="1"/>
  <c r="S39" i="7"/>
  <c r="S59" i="7" s="1"/>
  <c r="R39" i="7"/>
  <c r="R59" i="7" s="1"/>
  <c r="Q39" i="7"/>
  <c r="P39" i="7"/>
  <c r="P59" i="7" s="1"/>
  <c r="O39" i="7"/>
  <c r="O59" i="7" s="1"/>
  <c r="N39" i="7"/>
  <c r="N59" i="7" s="1"/>
  <c r="M39" i="7"/>
  <c r="L39" i="7"/>
  <c r="L59" i="7" s="1"/>
  <c r="K39" i="7"/>
  <c r="K59" i="7" s="1"/>
  <c r="J39" i="7"/>
  <c r="J59" i="7" s="1"/>
  <c r="I39" i="7"/>
  <c r="H39" i="7"/>
  <c r="H59" i="7" s="1"/>
  <c r="W38" i="7"/>
  <c r="Y38" i="7" s="1"/>
  <c r="W37" i="7"/>
  <c r="Y37" i="7" s="1"/>
  <c r="W36" i="7"/>
  <c r="W39" i="7" s="1"/>
  <c r="W59" i="7" s="1"/>
  <c r="Y34" i="7"/>
  <c r="X34" i="7"/>
  <c r="W34" i="7"/>
  <c r="V34" i="7"/>
  <c r="U34" i="7"/>
  <c r="T34" i="7"/>
  <c r="S34" i="7"/>
  <c r="R34" i="7"/>
  <c r="Q34" i="7"/>
  <c r="P34" i="7"/>
  <c r="O34" i="7"/>
  <c r="N34" i="7"/>
  <c r="M34" i="7"/>
  <c r="L34" i="7"/>
  <c r="K34" i="7"/>
  <c r="J34" i="7"/>
  <c r="I34" i="7"/>
  <c r="H34" i="7"/>
  <c r="W33" i="7"/>
  <c r="V33" i="7"/>
  <c r="S33" i="7"/>
  <c r="R33" i="7"/>
  <c r="O33" i="7"/>
  <c r="N33" i="7"/>
  <c r="K33" i="7"/>
  <c r="J33" i="7"/>
  <c r="Y32" i="7"/>
  <c r="Y33" i="7" s="1"/>
  <c r="X32" i="7"/>
  <c r="X33" i="7" s="1"/>
  <c r="W32" i="7"/>
  <c r="V32" i="7"/>
  <c r="U32" i="7"/>
  <c r="U33" i="7" s="1"/>
  <c r="T32" i="7"/>
  <c r="T33" i="7" s="1"/>
  <c r="S32" i="7"/>
  <c r="R32" i="7"/>
  <c r="Q32" i="7"/>
  <c r="Q33" i="7" s="1"/>
  <c r="P32" i="7"/>
  <c r="P33" i="7" s="1"/>
  <c r="O32" i="7"/>
  <c r="N32" i="7"/>
  <c r="M32" i="7"/>
  <c r="M33" i="7" s="1"/>
  <c r="L32" i="7"/>
  <c r="L33" i="7" s="1"/>
  <c r="K32" i="7"/>
  <c r="J32" i="7"/>
  <c r="I32" i="7"/>
  <c r="I33" i="7" s="1"/>
  <c r="H32" i="7"/>
  <c r="H33" i="7" s="1"/>
  <c r="W29" i="7"/>
  <c r="Y29" i="7" s="1"/>
  <c r="W28" i="7"/>
  <c r="Y28" i="7" s="1"/>
  <c r="W27" i="7"/>
  <c r="Y27" i="7" s="1"/>
  <c r="W26" i="7"/>
  <c r="Y26" i="7" s="1"/>
  <c r="W25" i="7"/>
  <c r="Y25" i="7" s="1"/>
  <c r="W24" i="7"/>
  <c r="Y24" i="7" s="1"/>
  <c r="W23" i="7"/>
  <c r="Y23" i="7" s="1"/>
  <c r="W22" i="7"/>
  <c r="Y22" i="7" s="1"/>
  <c r="W21" i="7"/>
  <c r="Y21" i="7" s="1"/>
  <c r="W20" i="7"/>
  <c r="Y20" i="7" s="1"/>
  <c r="W19" i="7"/>
  <c r="Y19" i="7" s="1"/>
  <c r="W18" i="7"/>
  <c r="Y18" i="7" s="1"/>
  <c r="W17" i="7"/>
  <c r="Y17" i="7" s="1"/>
  <c r="W16" i="7"/>
  <c r="Y16" i="7" s="1"/>
  <c r="W15" i="7"/>
  <c r="Y15" i="7" s="1"/>
  <c r="W14" i="7"/>
  <c r="Y14" i="7" s="1"/>
  <c r="W13" i="7"/>
  <c r="Y13" i="7" s="1"/>
  <c r="W12" i="7"/>
  <c r="Y12" i="7" s="1"/>
  <c r="W11" i="7"/>
  <c r="Y11" i="7" s="1"/>
  <c r="X10" i="7"/>
  <c r="X30" i="7" s="1"/>
  <c r="V10" i="7"/>
  <c r="V30" i="7" s="1"/>
  <c r="U10" i="7"/>
  <c r="U30" i="7" s="1"/>
  <c r="T10" i="7"/>
  <c r="T30" i="7" s="1"/>
  <c r="S10" i="7"/>
  <c r="S30" i="7" s="1"/>
  <c r="R10" i="7"/>
  <c r="R30" i="7" s="1"/>
  <c r="Q10" i="7"/>
  <c r="Q30" i="7" s="1"/>
  <c r="P10" i="7"/>
  <c r="P30" i="7" s="1"/>
  <c r="O10" i="7"/>
  <c r="O30" i="7" s="1"/>
  <c r="N10" i="7"/>
  <c r="N30" i="7" s="1"/>
  <c r="M10" i="7"/>
  <c r="M30" i="7" s="1"/>
  <c r="L10" i="7"/>
  <c r="L30" i="7" s="1"/>
  <c r="K10" i="7"/>
  <c r="K30" i="7" s="1"/>
  <c r="J10" i="7"/>
  <c r="J30" i="7" s="1"/>
  <c r="I10" i="7"/>
  <c r="I30" i="7" s="1"/>
  <c r="H10" i="7"/>
  <c r="H30" i="7" s="1"/>
  <c r="W9" i="7"/>
  <c r="Y9" i="7" s="1"/>
  <c r="W8" i="7"/>
  <c r="Y8" i="7" s="1"/>
  <c r="W7" i="7"/>
  <c r="W10" i="7" s="1"/>
  <c r="W30" i="7" s="1"/>
  <c r="I52" i="5"/>
  <c r="H52" i="5"/>
  <c r="I48" i="5"/>
  <c r="I49" i="5" s="1"/>
  <c r="I51" i="5" s="1"/>
  <c r="I53" i="5" s="1"/>
  <c r="H48" i="5"/>
  <c r="H49" i="5" s="1"/>
  <c r="H51" i="5" s="1"/>
  <c r="H53" i="5" s="1"/>
  <c r="I43" i="5"/>
  <c r="I42" i="5"/>
  <c r="H42" i="5"/>
  <c r="H32" i="5"/>
  <c r="H35" i="5" s="1"/>
  <c r="I30" i="5"/>
  <c r="I35" i="5" s="1"/>
  <c r="H30" i="5"/>
  <c r="H27" i="5"/>
  <c r="I26" i="5"/>
  <c r="I25" i="5"/>
  <c r="I29" i="5" s="1"/>
  <c r="I36" i="5" s="1"/>
  <c r="H25" i="5"/>
  <c r="H29" i="5" s="1"/>
  <c r="I19" i="5"/>
  <c r="H19" i="5"/>
  <c r="H17" i="5"/>
  <c r="H16" i="5"/>
  <c r="I15" i="5"/>
  <c r="H15" i="5"/>
  <c r="I14" i="5"/>
  <c r="I20" i="5" s="1"/>
  <c r="H14" i="5"/>
  <c r="H20" i="5" s="1"/>
  <c r="I12" i="5"/>
  <c r="H12" i="5"/>
  <c r="I11" i="5"/>
  <c r="H11" i="5"/>
  <c r="I10" i="5"/>
  <c r="H9" i="5"/>
  <c r="I8" i="5"/>
  <c r="I13" i="5" s="1"/>
  <c r="I21" i="5" s="1"/>
  <c r="H8" i="5"/>
  <c r="H13" i="5" s="1"/>
  <c r="H21" i="5" s="1"/>
  <c r="K112" i="3"/>
  <c r="J112" i="3"/>
  <c r="J111" i="3" s="1"/>
  <c r="I112" i="3"/>
  <c r="H112" i="3"/>
  <c r="K111" i="3"/>
  <c r="I111" i="3"/>
  <c r="H111" i="3"/>
  <c r="K98" i="3"/>
  <c r="J98" i="3"/>
  <c r="I98" i="3"/>
  <c r="H98" i="3"/>
  <c r="K91" i="3"/>
  <c r="K108" i="3" s="1"/>
  <c r="J91" i="3"/>
  <c r="J108" i="3" s="1"/>
  <c r="I91" i="3"/>
  <c r="I108" i="3" s="1"/>
  <c r="H91" i="3"/>
  <c r="H108" i="3" s="1"/>
  <c r="K90" i="3"/>
  <c r="I90" i="3"/>
  <c r="H90" i="3"/>
  <c r="K89" i="3"/>
  <c r="J89" i="3"/>
  <c r="J109" i="3" s="1"/>
  <c r="I89" i="3"/>
  <c r="H89" i="3"/>
  <c r="K86" i="3"/>
  <c r="J86" i="3"/>
  <c r="I86" i="3"/>
  <c r="H86" i="3"/>
  <c r="K85" i="3"/>
  <c r="J85" i="3"/>
  <c r="I85" i="3"/>
  <c r="H85" i="3"/>
  <c r="K70" i="3"/>
  <c r="J70" i="3"/>
  <c r="I70" i="3"/>
  <c r="H70" i="3"/>
  <c r="H60" i="3"/>
  <c r="H52" i="3"/>
  <c r="K51" i="3"/>
  <c r="J51" i="3"/>
  <c r="I51" i="3"/>
  <c r="H51" i="3"/>
  <c r="K48" i="3"/>
  <c r="J48" i="3"/>
  <c r="I48" i="3"/>
  <c r="H48" i="3"/>
  <c r="J44" i="3"/>
  <c r="J37" i="3" s="1"/>
  <c r="H44" i="3"/>
  <c r="K37" i="3"/>
  <c r="I37" i="3"/>
  <c r="H37" i="3"/>
  <c r="J36" i="3"/>
  <c r="I36" i="3"/>
  <c r="H36" i="3"/>
  <c r="H32" i="3"/>
  <c r="K29" i="3"/>
  <c r="J29" i="3"/>
  <c r="I29" i="3"/>
  <c r="H29" i="3"/>
  <c r="K26" i="3"/>
  <c r="J26" i="3"/>
  <c r="I26" i="3"/>
  <c r="H26" i="3"/>
  <c r="J25" i="3"/>
  <c r="I25" i="3"/>
  <c r="H25" i="3"/>
  <c r="J24" i="3"/>
  <c r="I24" i="3"/>
  <c r="H24" i="3"/>
  <c r="K23" i="3"/>
  <c r="J23" i="3"/>
  <c r="I23" i="3"/>
  <c r="H23" i="3"/>
  <c r="K22" i="3"/>
  <c r="J22" i="3"/>
  <c r="I22" i="3"/>
  <c r="H22" i="3"/>
  <c r="H20" i="3" s="1"/>
  <c r="K21" i="3"/>
  <c r="J21" i="3"/>
  <c r="I21" i="3"/>
  <c r="H21" i="3"/>
  <c r="K20" i="3"/>
  <c r="K14" i="3" s="1"/>
  <c r="K61" i="3" s="1"/>
  <c r="J20" i="3"/>
  <c r="I20" i="3"/>
  <c r="I14" i="3" s="1"/>
  <c r="I61" i="3" s="1"/>
  <c r="J19" i="3"/>
  <c r="J16" i="3" s="1"/>
  <c r="J14" i="3" s="1"/>
  <c r="J61" i="3" s="1"/>
  <c r="I19" i="3"/>
  <c r="H19" i="3"/>
  <c r="J18" i="3"/>
  <c r="H18" i="3"/>
  <c r="H16" i="3" s="1"/>
  <c r="H14" i="3" s="1"/>
  <c r="H61" i="3" s="1"/>
  <c r="K17" i="3"/>
  <c r="H17" i="3"/>
  <c r="K16" i="3"/>
  <c r="I16" i="3"/>
  <c r="K13" i="3"/>
  <c r="K8" i="3" s="1"/>
  <c r="K60" i="3" s="1"/>
  <c r="J13" i="3"/>
  <c r="H13" i="3"/>
  <c r="K11" i="3"/>
  <c r="J11" i="3"/>
  <c r="J10" i="3"/>
  <c r="J8" i="3" s="1"/>
  <c r="J60" i="3" s="1"/>
  <c r="H10" i="3"/>
  <c r="I8" i="3"/>
  <c r="I60" i="3" s="1"/>
  <c r="H8" i="3"/>
  <c r="I128" i="2"/>
  <c r="I125" i="2"/>
  <c r="I117" i="2"/>
  <c r="H117" i="2"/>
  <c r="I105" i="2"/>
  <c r="H105" i="2"/>
  <c r="I98" i="2"/>
  <c r="H98" i="2"/>
  <c r="I95" i="2"/>
  <c r="I94" i="2"/>
  <c r="H94" i="2"/>
  <c r="I92" i="2"/>
  <c r="I91" i="2" s="1"/>
  <c r="H91" i="2"/>
  <c r="I85" i="2"/>
  <c r="H85" i="2"/>
  <c r="I78" i="2"/>
  <c r="H78" i="2"/>
  <c r="H75" i="2" s="1"/>
  <c r="H133" i="2" s="1"/>
  <c r="I77" i="2"/>
  <c r="I76" i="2"/>
  <c r="I70" i="2"/>
  <c r="I60" i="2"/>
  <c r="H60" i="2"/>
  <c r="I59" i="2"/>
  <c r="I58" i="2"/>
  <c r="I56" i="2"/>
  <c r="I53" i="2" s="1"/>
  <c r="I44" i="2" s="1"/>
  <c r="H53" i="2"/>
  <c r="I45" i="2"/>
  <c r="H45" i="2"/>
  <c r="H44" i="2" s="1"/>
  <c r="I38" i="2"/>
  <c r="H38" i="2"/>
  <c r="I27" i="2"/>
  <c r="H27" i="2"/>
  <c r="I24" i="2"/>
  <c r="I23" i="2"/>
  <c r="I22" i="2"/>
  <c r="I20" i="2"/>
  <c r="I19" i="2"/>
  <c r="I17" i="2"/>
  <c r="I9" i="2" s="1"/>
  <c r="I72" i="2" s="1"/>
  <c r="H17" i="2"/>
  <c r="I12" i="2"/>
  <c r="I10" i="2"/>
  <c r="H10" i="2"/>
  <c r="H9" i="2" s="1"/>
  <c r="H72" i="2" s="1"/>
  <c r="U59" i="7" l="1"/>
  <c r="Y36" i="7"/>
  <c r="Y39" i="7" s="1"/>
  <c r="Y59" i="7" s="1"/>
  <c r="Y7" i="7"/>
  <c r="Y10" i="7" s="1"/>
  <c r="Y30" i="7" s="1"/>
  <c r="H36" i="5"/>
  <c r="H109" i="3"/>
  <c r="K109" i="3"/>
  <c r="I109" i="3"/>
  <c r="J90" i="3"/>
  <c r="J64" i="3"/>
  <c r="J63" i="3"/>
  <c r="J62" i="3"/>
  <c r="K64" i="3"/>
  <c r="K63" i="3"/>
  <c r="K62" i="3"/>
  <c r="I64" i="3"/>
  <c r="I63" i="3"/>
  <c r="I62" i="3"/>
  <c r="H64" i="3"/>
  <c r="H62" i="3"/>
  <c r="H63" i="3"/>
  <c r="I75" i="2"/>
  <c r="I133" i="2" s="1"/>
  <c r="H68" i="3" l="1"/>
  <c r="H67" i="3"/>
  <c r="H66" i="3"/>
  <c r="J68" i="3"/>
  <c r="J67" i="3"/>
  <c r="J66" i="3"/>
  <c r="K68" i="3"/>
  <c r="K67" i="3"/>
  <c r="K66" i="3"/>
  <c r="I68" i="3"/>
  <c r="I67" i="3"/>
  <c r="I66" i="3"/>
  <c r="H9" i="4" l="1"/>
  <c r="I9" i="4"/>
  <c r="H18" i="4"/>
  <c r="I18" i="4"/>
  <c r="H19" i="4"/>
  <c r="I19" i="4"/>
  <c r="I54" i="4" l="1"/>
  <c r="H54" i="4"/>
  <c r="I48" i="4"/>
  <c r="H48" i="4"/>
  <c r="I41" i="4"/>
  <c r="H41" i="4"/>
  <c r="I35" i="4"/>
  <c r="H35" i="4"/>
  <c r="I42" i="4" l="1"/>
  <c r="H55" i="4"/>
  <c r="I55" i="4"/>
  <c r="H42" i="4"/>
  <c r="H24" i="4"/>
  <c r="H27" i="4" s="1"/>
  <c r="I24" i="4"/>
  <c r="I27" i="4" s="1"/>
  <c r="I57" i="4" s="1"/>
  <c r="I59" i="4" s="1"/>
  <c r="H57" i="4" l="1"/>
  <c r="H59" i="4" s="1"/>
</calcChain>
</file>

<file path=xl/sharedStrings.xml><?xml version="1.0" encoding="utf-8"?>
<sst xmlns="http://schemas.openxmlformats.org/spreadsheetml/2006/main" count="542" uniqueCount="488">
  <si>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</si>
  <si>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</si>
  <si>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</si>
  <si>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</si>
  <si>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sz val="9"/>
        <rFont val="Arial"/>
        <family val="2"/>
        <charset val="238"/>
      </rPr>
      <t>Registration number (MB):</t>
    </r>
  </si>
  <si>
    <r>
      <rPr>
        <sz val="9"/>
        <rFont val="Arial"/>
        <family val="2"/>
        <charset val="238"/>
      </rPr>
      <t>Issuer’s home Member State code:</t>
    </r>
  </si>
  <si>
    <t>HR</t>
  </si>
  <si>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</si>
  <si>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</si>
  <si>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</si>
  <si>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</si>
  <si>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</si>
  <si>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</si>
  <si>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</si>
  <si>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</si>
  <si>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</si>
  <si>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</si>
  <si>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</si>
  <si>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</si>
  <si>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</si>
  <si>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</si>
  <si>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</si>
  <si>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</si>
  <si>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</si>
  <si>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</si>
  <si>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</si>
  <si>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</si>
  <si>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</si>
  <si>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</si>
  <si>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</si>
  <si>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</si>
  <si>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</si>
  <si>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</si>
  <si>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</si>
  <si>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</si>
  <si>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</si>
  <si>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</si>
  <si>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</si>
  <si>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</si>
  <si>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</si>
  <si>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</si>
  <si>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</si>
  <si>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</si>
  <si>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</si>
  <si>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</si>
  <si>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</si>
  <si>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</si>
  <si>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</si>
  <si>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</si>
  <si>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</si>
  <si>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</si>
  <si>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</si>
  <si>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</si>
  <si>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</si>
  <si>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</si>
  <si>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</si>
  <si>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</si>
  <si>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</si>
  <si>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</si>
  <si>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</si>
  <si>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</si>
  <si>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</si>
  <si>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</si>
  <si>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</si>
  <si>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</si>
  <si>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</si>
  <si>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</si>
  <si>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</si>
  <si>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</si>
  <si>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</si>
  <si>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</si>
  <si>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</si>
  <si>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</si>
  <si>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</si>
  <si>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</si>
  <si>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</si>
  <si>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</si>
  <si>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</si>
  <si>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</si>
  <si>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</si>
  <si>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</si>
  <si>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</si>
  <si>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</si>
  <si>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</si>
  <si>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</si>
  <si>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</si>
  <si>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</si>
  <si>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</si>
  <si>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</si>
  <si>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</si>
  <si>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</si>
  <si>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</si>
  <si>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</si>
  <si>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</si>
  <si>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</si>
  <si>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</si>
  <si>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</si>
  <si>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</si>
  <si>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</si>
  <si>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</si>
  <si>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</si>
  <si>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</si>
  <si>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</si>
  <si>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b/>
        <sz val="9"/>
        <color rgb="FF333399"/>
        <rFont val="Arial"/>
        <family val="2"/>
        <charset val="238"/>
      </rPr>
      <t xml:space="preserve">A)  CAPITAL AND RESERVES </t>
    </r>
    <r>
      <rPr>
        <sz val="9"/>
        <color rgb="FF333399"/>
        <rFont val="Arial"/>
        <family val="2"/>
        <charset val="238"/>
      </rPr>
      <t>(ADP 068 to 070+076+077+083+086+089)</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</si>
  <si>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</si>
  <si>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</si>
  <si>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</si>
  <si>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</si>
  <si>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</si>
  <si>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</si>
  <si>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</si>
  <si>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</si>
  <si>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</si>
  <si>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t>V FAIR VALUE RESERVES AND OTHER (ADP 078 to 082)</t>
  </si>
  <si>
    <t xml:space="preserve">     1 Financial assets at fair value through other comprehensive income (i.e. available for sale)</t>
  </si>
  <si>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</si>
  <si>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</si>
  <si>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t xml:space="preserve">     4 Other fair value reserves</t>
  </si>
  <si>
    <t xml:space="preserve">      5 Exchange differences arising from the translation of foreign operations (consolidation)</t>
  </si>
  <si>
    <t>VI RETAINED PROFIT OR LOSS BROUGHT FORWARD (ADP 084-085)</t>
  </si>
  <si>
    <r>
      <rPr>
        <sz val="9"/>
        <rFont val="Arial"/>
        <family val="2"/>
        <charset val="238"/>
      </rPr>
      <t xml:space="preserve">     1 Retained profit</t>
    </r>
  </si>
  <si>
    <r>
      <rPr>
        <sz val="9"/>
        <rFont val="Arial"/>
        <family val="2"/>
        <charset val="238"/>
      </rPr>
      <t xml:space="preserve">     2 Loss brought forward</t>
    </r>
  </si>
  <si>
    <t>VII PROFIT OR LOSS FOR THE BUSINESS YEAR (ADP 087-088)</t>
  </si>
  <si>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</si>
  <si>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</si>
  <si>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</si>
  <si>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b/>
        <sz val="9"/>
        <color rgb="FF333399"/>
        <rFont val="Arial"/>
        <family val="2"/>
        <charset val="238"/>
      </rPr>
      <t xml:space="preserve">B)  PROVISIONS </t>
    </r>
    <r>
      <rPr>
        <sz val="9"/>
        <color rgb="FF333399"/>
        <rFont val="Arial"/>
        <family val="2"/>
        <charset val="238"/>
      </rPr>
      <t>(ADP 091 to 096)</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</si>
  <si>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</si>
  <si>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</si>
  <si>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</si>
  <si>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</si>
  <si>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</si>
  <si>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</si>
  <si>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color rgb="FF333399"/>
        <rFont val="Arial"/>
        <family val="2"/>
        <charset val="238"/>
      </rPr>
      <t xml:space="preserve">C)  LONG-TERM LIABILITIES </t>
    </r>
    <r>
      <rPr>
        <sz val="9"/>
        <color rgb="FF333399"/>
        <rFont val="Arial"/>
        <family val="2"/>
        <charset val="238"/>
      </rPr>
      <t>(ADP 098 to 108)</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</si>
  <si>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</si>
  <si>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</si>
  <si>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</si>
  <si>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</si>
  <si>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</si>
  <si>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</si>
  <si>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</si>
  <si>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</si>
  <si>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</si>
  <si>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</si>
  <si>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</si>
  <si>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color rgb="FF333399"/>
        <rFont val="Arial"/>
        <family val="2"/>
        <charset val="238"/>
      </rPr>
      <t xml:space="preserve">D)  SHORT-TERM LIABILITIES </t>
    </r>
    <r>
      <rPr>
        <sz val="9"/>
        <color rgb="FF333399"/>
        <rFont val="Arial"/>
        <family val="2"/>
        <charset val="238"/>
      </rPr>
      <t>(ADP 110 to 123)</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</si>
  <si>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</si>
  <si>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</si>
  <si>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</si>
  <si>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</si>
  <si>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</si>
  <si>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</si>
  <si>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</si>
  <si>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G)  OFF-BALANCE SHEET ITEMS</t>
    </r>
  </si>
  <si>
    <r>
      <rPr>
        <b/>
        <sz val="12"/>
        <rFont val="Arial"/>
        <family val="2"/>
        <charset val="238"/>
      </rPr>
      <t>STATEMENT OF PROFIT OR LOSS</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</si>
  <si>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</si>
  <si>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</si>
  <si>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</si>
  <si>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</si>
  <si>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</si>
  <si>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</si>
  <si>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</si>
  <si>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</si>
  <si>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134+135+139+143+144+145+148+155)</t>
    </r>
  </si>
  <si>
    <r>
      <rPr>
        <sz val="9"/>
        <rFont val="Arial"/>
        <family val="2"/>
        <charset val="238"/>
      </rPr>
      <t xml:space="preserve">    1 Changes in inventories of work in progress and finished goods</t>
    </r>
  </si>
  <si>
    <t xml:space="preserve">    2 Material costs (ADP 136 to 138)</t>
  </si>
  <si>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</si>
  <si>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</si>
  <si>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</si>
  <si>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t xml:space="preserve">   3 Staff costs (ADP 140 to 142)</t>
  </si>
  <si>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</si>
  <si>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</si>
  <si>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</si>
  <si>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</si>
  <si>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</si>
  <si>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</si>
  <si>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</si>
  <si>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t xml:space="preserve">   7 Provisions (ADP 149 to 155)</t>
  </si>
  <si>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</si>
  <si>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</si>
  <si>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</si>
  <si>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</si>
  <si>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</si>
  <si>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</si>
  <si>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</si>
  <si>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</si>
  <si>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</si>
  <si>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</si>
  <si>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</si>
  <si>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</si>
  <si>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</si>
  <si>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</si>
  <si>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</si>
  <si>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</si>
  <si>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</si>
  <si>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</si>
  <si>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</si>
  <si>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</si>
  <si>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</si>
  <si>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</si>
  <si>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</si>
  <si>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</si>
  <si>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</si>
  <si>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</si>
  <si>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</si>
  <si>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</si>
  <si>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XI   PRE-TAX PROFIT OR LOSS </t>
    </r>
    <r>
      <rPr>
        <sz val="9"/>
        <color rgb="FF333399"/>
        <rFont val="Arial"/>
        <family val="2"/>
        <charset val="238"/>
      </rPr>
      <t>(ADP 179-180)</t>
    </r>
  </si>
  <si>
    <t xml:space="preserve">   1 Pre-tax profit (ADP 179-180)</t>
  </si>
  <si>
    <t xml:space="preserve">   2 Pre-tax loss (ADP 180-179)</t>
  </si>
  <si>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</si>
  <si>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181-184)</t>
    </r>
  </si>
  <si>
    <t xml:space="preserve">  1 Profit for the period (ADP 181-184)</t>
  </si>
  <si>
    <t xml:space="preserve">  2 Loss for the period (ADP 184-181)</t>
  </si>
  <si>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</si>
  <si>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(ADP 189-190)</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</si>
  <si>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</si>
  <si>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</si>
  <si>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</si>
  <si>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</si>
  <si>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</si>
  <si>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</si>
  <si>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181+188)</t>
    </r>
  </si>
  <si>
    <t xml:space="preserve"> 1 Pre-tax profit (ADP 194)</t>
  </si>
  <si>
    <t xml:space="preserve"> 2 Pre-tax loss (ADP 194)</t>
  </si>
  <si>
    <r>
      <rPr>
        <b/>
        <sz val="9"/>
        <color rgb="FF333399"/>
        <rFont val="Arial"/>
        <family val="2"/>
        <charset val="238"/>
      </rPr>
      <t xml:space="preserve">XVII INCOME TAX </t>
    </r>
    <r>
      <rPr>
        <sz val="9"/>
        <color rgb="FF333399"/>
        <rFont val="Arial"/>
        <family val="2"/>
        <charset val="238"/>
      </rPr>
      <t>(ADP 184+191)</t>
    </r>
  </si>
  <si>
    <r>
      <rPr>
        <b/>
        <sz val="9"/>
        <color rgb="FF333399"/>
        <rFont val="Arial"/>
        <family val="2"/>
        <charset val="238"/>
      </rPr>
      <t xml:space="preserve">XVIII PROFIT OR LOSS FOR THE PERIOD </t>
    </r>
    <r>
      <rPr>
        <sz val="9"/>
        <color rgb="FF333399"/>
        <rFont val="Arial"/>
        <family val="2"/>
        <charset val="238"/>
      </rPr>
      <t>(ADP 194-197)</t>
    </r>
  </si>
  <si>
    <t xml:space="preserve"> 1 Profit for the period (ADP 194-197)</t>
  </si>
  <si>
    <t xml:space="preserve"> 2 Loss for the period (ADP 197-194)</t>
  </si>
  <si>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</si>
  <si>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XIX PROFIT OR LOSS FOR THE PERIOD </t>
    </r>
    <r>
      <rPr>
        <sz val="9"/>
        <color rgb="FF000080"/>
        <rFont val="Arial"/>
        <family val="2"/>
        <charset val="238"/>
      </rPr>
      <t>(ADP 202+203)</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</si>
  <si>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</si>
  <si>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</si>
  <si>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</si>
  <si>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</si>
  <si>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t xml:space="preserve">II OTHER COMPREHENSIVE INCOME/LOSS BEFORE TAX
    (ADP 206+ 213)   </t>
  </si>
  <si>
    <t>III Items that will not be reclassified to profit or loss (ADP207 to 211)</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</si>
  <si>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</si>
  <si>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</si>
  <si>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</si>
  <si>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</si>
  <si>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</si>
  <si>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</si>
  <si>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IV Items that may be reclassified to profit or loss (ADP 214 to 221)</t>
  </si>
  <si>
    <t>1 Exchange rate differences from translation of foreign operations</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</si>
  <si>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</si>
  <si>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</si>
  <si>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</si>
  <si>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</si>
  <si>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</si>
  <si>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</si>
  <si>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</si>
  <si>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</si>
  <si>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V NET OTHER COMPREHENSIVE INCOME OR LOSS (ADP 206+213- 212 - 222)</t>
  </si>
  <si>
    <t>VI COMPREHENSIVE INCOME OR LOSS FOR THE PERIOD (ADP 204+223)</t>
  </si>
  <si>
    <r>
      <rPr>
        <b/>
        <sz val="9"/>
        <color rgb="FF000080"/>
        <rFont val="Arial"/>
        <family val="2"/>
        <charset val="238"/>
      </rPr>
      <t>APPENDIX to the Statement on comprehensive income (to be filled in by entrepreneurs who draw up consolidated statements)</t>
    </r>
  </si>
  <si>
    <t>VI COMPREHENSIVE INCOME OR LOSS FOR THE PERIOD (ADP 225+226)</t>
  </si>
  <si>
    <t>1 Attributable to owners of the parent</t>
  </si>
  <si>
    <t>2 Attributable to minority (non-controlling) interest</t>
  </si>
  <si>
    <r>
      <rPr>
        <b/>
        <sz val="12"/>
        <rFont val="Arial"/>
        <family val="2"/>
        <charset val="238"/>
      </rPr>
      <t>STATEMENT OF CASH FLOWS - indirect method</t>
    </r>
  </si>
  <si>
    <r>
      <rPr>
        <b/>
        <sz val="8"/>
        <rFont val="Arial"/>
        <family val="2"/>
        <charset val="238"/>
      </rPr>
      <t xml:space="preserve">ADP
</t>
    </r>
    <r>
      <rPr>
        <b/>
        <sz val="8"/>
        <rFont val="Arial"/>
        <family val="2"/>
        <charset val="238"/>
      </rPr>
      <t>code</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</si>
  <si>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</si>
  <si>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</si>
  <si>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</si>
  <si>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</si>
  <si>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</si>
  <si>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</si>
  <si>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</si>
  <si>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</si>
  <si>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</si>
  <si>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</si>
  <si>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</si>
  <si>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</si>
  <si>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</si>
  <si>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</si>
  <si>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</si>
  <si>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</si>
  <si>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</si>
  <si>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</si>
  <si>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</si>
  <si>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</si>
  <si>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</si>
  <si>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</si>
  <si>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</si>
  <si>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</si>
  <si>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</si>
  <si>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</si>
  <si>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</si>
  <si>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</si>
  <si>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</si>
  <si>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</si>
  <si>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</si>
  <si>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</si>
  <si>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</si>
  <si>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</si>
  <si>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</si>
  <si>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</si>
  <si>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</si>
  <si>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</si>
  <si>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</si>
  <si>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</si>
  <si>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</si>
  <si>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</si>
  <si>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</si>
  <si>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</si>
  <si>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</si>
  <si>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</si>
  <si>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</si>
  <si>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</si>
  <si>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</si>
  <si>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</si>
  <si>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</si>
  <si>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</si>
  <si>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</si>
  <si>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</si>
  <si>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</si>
  <si>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</si>
  <si>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</si>
  <si>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</si>
  <si>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</si>
  <si>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</si>
  <si>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</si>
  <si>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</si>
  <si>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</si>
  <si>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</si>
  <si>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</si>
  <si>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</si>
  <si>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</si>
  <si>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</si>
  <si>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</si>
  <si>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</si>
  <si>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 xml:space="preserve"> 1 Cash receipts from sales of fixed tangible and intangible assets</t>
  </si>
  <si>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</si>
  <si>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</si>
  <si>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</si>
  <si>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</si>
  <si>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</si>
  <si>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t>III Total cash receipts from investment activities (ADP 015 to 020)</t>
  </si>
  <si>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</si>
  <si>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</si>
  <si>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</si>
  <si>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</si>
  <si>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</si>
  <si>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t>IV Total cash payments from investment activities (ADP 022 to 026)</t>
  </si>
  <si>
    <t>B) NET CASH FLOW FROM INVESTMENT ACTIVITIES (ADP 021 + 027)</t>
  </si>
  <si>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</si>
  <si>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</si>
  <si>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</si>
  <si>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</si>
  <si>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t>V Total cash receipts from financing activities (ADP 029 to 032)</t>
  </si>
  <si>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</si>
  <si>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</si>
  <si>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</si>
  <si>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</si>
  <si>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t>VI Total cash payments from financing activities (ADP 034 to 038)</t>
  </si>
  <si>
    <t>C) NET CASH FLOW FROM FINANCING ACTIVITIES (ADP 033 +039)</t>
  </si>
  <si>
    <r>
      <rPr>
        <sz val="9"/>
        <rFont val="Arial"/>
        <family val="2"/>
        <charset val="238"/>
      </rPr>
      <t xml:space="preserve">  1 Unrealised exchange rate differences in cash and cash equivalents</t>
    </r>
  </si>
  <si>
    <t>D) NET INCREASE OR DECREASE IN CASH FLOWS (ADP 014 + 028 + 040 + 041)</t>
  </si>
  <si>
    <t>E) CASH AND CASH EQUIVALENTS AT THE BEGINNING OF THE PERIOD</t>
  </si>
  <si>
    <t>F) CASH AND CASH EQUIVALENTS AT THE END OF THE PERIOD (ADP 042+043)</t>
  </si>
  <si>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</si>
  <si>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</si>
  <si>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</si>
  <si>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</si>
  <si>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</si>
  <si>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</si>
  <si>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</si>
  <si>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</si>
  <si>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</si>
  <si>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</si>
  <si>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</si>
  <si>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</si>
  <si>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</si>
  <si>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</si>
  <si>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</si>
  <si>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</si>
  <si>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t>Fair value of financial assets through other comprehensive income (available for sale)</t>
  </si>
  <si>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</si>
  <si>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</si>
  <si>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t>Other fair value reserves</t>
  </si>
  <si>
    <t>Exchange rate differences from translation of foreign operations</t>
  </si>
  <si>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</si>
  <si>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</si>
  <si>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</si>
  <si>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</si>
  <si>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</si>
  <si>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</si>
  <si>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</si>
  <si>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</si>
  <si>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</si>
  <si>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</si>
  <si>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</si>
  <si>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</si>
  <si>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</si>
  <si>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</si>
  <si>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r>
      <rPr>
        <sz val="11"/>
        <color theme="1"/>
        <rFont val="Calibri"/>
        <family val="2"/>
        <charset val="238"/>
        <scheme val="minor"/>
      </rPr>
      <t/>
    </r>
  </si>
  <si>
    <r>
      <rPr>
        <b/>
        <sz val="8"/>
        <color rgb="FFFFFFFF"/>
        <rFont val="Arial"/>
        <family val="2"/>
        <charset val="238"/>
      </rPr>
      <t>15</t>
    </r>
    <r>
      <rPr>
        <sz val="11"/>
        <color theme="1"/>
        <rFont val="Calibri"/>
        <family val="2"/>
        <charset val="238"/>
        <scheme val="minor"/>
      </rPr>
      <t/>
    </r>
  </si>
  <si>
    <t>16</t>
  </si>
  <si>
    <t>17</t>
  </si>
  <si>
    <t>18 (3 do 6 - 7
 + 8 do 17)</t>
  </si>
  <si>
    <t>20 (18+19)</t>
  </si>
  <si>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</si>
  <si>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</si>
  <si>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</si>
  <si>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</si>
  <si>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</si>
  <si>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</si>
  <si>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</si>
  <si>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</si>
  <si>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t>8 Gains or losses from subsequent measurement of financial assets at fair value through other comprehensive income (available for sale)</t>
  </si>
  <si>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</si>
  <si>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</si>
  <si>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</si>
  <si>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</si>
  <si>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</si>
  <si>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</si>
  <si>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</si>
  <si>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t>16 Decrease in initial (subscribed) capital arising from the pre-bankruptcy settlement procedure</t>
  </si>
  <si>
    <t>17 Decrease in initial (subscribed) capital arising from the reinvestment of profit</t>
  </si>
  <si>
    <r>
      <rPr>
        <sz val="8"/>
        <rFont val="Arial"/>
        <family val="2"/>
        <charset val="238"/>
      </rPr>
      <t>18 Redemption of treasury shares/holdings</t>
    </r>
  </si>
  <si>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</si>
  <si>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</si>
  <si>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</si>
  <si>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</si>
  <si>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</si>
  <si>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</si>
  <si>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APPENDIX TO THE STATEMENT OF CHANGES IN EQUITY (to be filled in by undertakings that draw up financial statements in accordance with the IFRS)</t>
    </r>
  </si>
  <si>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</si>
  <si>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</si>
  <si>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</si>
  <si>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r>
      <rPr>
        <b/>
        <sz val="8"/>
        <color rgb="FF000080"/>
        <rFont val="Arial"/>
        <family val="2"/>
        <charset val="238"/>
      </rPr>
      <t>Current period</t>
    </r>
  </si>
  <si>
    <r>
      <rPr>
        <b/>
        <sz val="8"/>
        <rFont val="Arial"/>
        <family val="2"/>
        <charset val="238"/>
      </rPr>
      <t>1 Balance on the first day of the current business year</t>
    </r>
  </si>
  <si>
    <t>4 Balance on the first day of the current business year (restated) (AOP 28 to 30)</t>
  </si>
  <si>
    <r>
      <rPr>
        <sz val="8"/>
        <rFont val="Arial"/>
        <family val="2"/>
        <charset val="238"/>
      </rPr>
      <t>12 Actuarial gains/losses on defined remuneration plans</t>
    </r>
  </si>
  <si>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</si>
  <si>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</si>
  <si>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</si>
  <si>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</si>
  <si>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</si>
  <si>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</si>
  <si>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</si>
  <si>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</si>
  <si>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</si>
  <si>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t>02013720</t>
  </si>
  <si>
    <t>040224587</t>
  </si>
  <si>
    <t>06374155285</t>
  </si>
  <si>
    <t>Bale</t>
  </si>
  <si>
    <t>Trg La Musa 2</t>
  </si>
  <si>
    <t>massimo.piutti@monperin.hr</t>
  </si>
  <si>
    <t>www.monperin.hr</t>
  </si>
  <si>
    <t>Yes</t>
  </si>
  <si>
    <t>M.I. Računovođa d.o.o.</t>
  </si>
  <si>
    <t>Ivana Mikulek</t>
  </si>
  <si>
    <t>052 824 186</t>
  </si>
  <si>
    <t>ivana.mikulek@mi-racunovoda.hr</t>
  </si>
  <si>
    <t>Last day of the preceding business year</t>
  </si>
  <si>
    <t>At the reporting date of the current period</t>
  </si>
  <si>
    <t xml:space="preserve">     4 Investments in holdings (shares) of companies linked by virtue of participating interest</t>
  </si>
  <si>
    <t>RN</t>
  </si>
  <si>
    <t>in HRK</t>
  </si>
  <si>
    <t>Cumulative</t>
  </si>
  <si>
    <t>Quarter</t>
  </si>
  <si>
    <t>Same period of the previous year</t>
  </si>
  <si>
    <t>Current period</t>
  </si>
  <si>
    <t xml:space="preserve">        a) Net salaries and wages</t>
  </si>
  <si>
    <t xml:space="preserve">     1 Investments in holdings (shares) of undertakings within the group</t>
  </si>
  <si>
    <t>KD</t>
  </si>
  <si>
    <t>Maian d.o.o.</t>
  </si>
  <si>
    <t>02981149</t>
  </si>
  <si>
    <t>Dandoli d.o.o.</t>
  </si>
  <si>
    <t>04809122</t>
  </si>
  <si>
    <t>Mon Perin Castrum d.o.o.</t>
  </si>
  <si>
    <t>04318781</t>
  </si>
  <si>
    <t xml:space="preserve">Quarterly financial statements </t>
  </si>
  <si>
    <t>Quarter:</t>
  </si>
  <si>
    <t>Submitter: Mon Perin d.d. Group</t>
  </si>
  <si>
    <t>for the period 01.01.2022. to 30.09.2022.</t>
  </si>
  <si>
    <r>
      <t xml:space="preserve">I OPERATING REVENUES </t>
    </r>
    <r>
      <rPr>
        <sz val="9"/>
        <color rgb="FF333399"/>
        <rFont val="Arial"/>
        <family val="2"/>
        <charset val="238"/>
      </rPr>
      <t>(ADP 128 to 132)</t>
    </r>
  </si>
  <si>
    <r>
      <t xml:space="preserve">III FINANCIAL REVENUES </t>
    </r>
    <r>
      <rPr>
        <sz val="9"/>
        <color rgb="FF333399"/>
        <rFont val="Arial"/>
        <family val="2"/>
        <charset val="238"/>
      </rPr>
      <t>(ADP 157 to 166)</t>
    </r>
  </si>
  <si>
    <r>
      <t xml:space="preserve">IX   TOTAL REVENUES </t>
    </r>
    <r>
      <rPr>
        <sz val="9"/>
        <color rgb="FF333399"/>
        <rFont val="Arial"/>
        <family val="2"/>
        <charset val="238"/>
      </rPr>
      <t>(ADP 127+156+175 + 176)</t>
    </r>
  </si>
  <si>
    <r>
      <t xml:space="preserve">IV FINANCIAL EXPENSES </t>
    </r>
    <r>
      <rPr>
        <sz val="9"/>
        <color rgb="FF333399"/>
        <rFont val="Arial"/>
        <family val="2"/>
        <charset val="238"/>
      </rPr>
      <t>(ADP 168 to 174)</t>
    </r>
  </si>
  <si>
    <r>
      <t xml:space="preserve">X    TOTAL EXPENSES </t>
    </r>
    <r>
      <rPr>
        <sz val="9"/>
        <color rgb="FF333399"/>
        <rFont val="Arial"/>
        <family val="2"/>
        <charset val="238"/>
      </rPr>
      <t>(ADP 133+167+177 + 178)</t>
    </r>
  </si>
  <si>
    <t xml:space="preserve">     1 Cash payments for the repayment of credit principals, loans and other borrowings and debt financial instruments</t>
  </si>
  <si>
    <t>747800S06AYJL4DSCT25</t>
  </si>
  <si>
    <t>NOTES OF THE FINANCIAL STATEMENTS
(for the quarterly period)
Name of issuer:  Mon Perin d.d. 
VAT No.:   06374155285
Reporting period: 01/01/2022 to 30/09/2022
Notes to financial statements for quarterly periods include: 
a) explanation of business events relevant to understanding changes in the statement of financial position and business results for the issuer's quarterly reporting period with respect to the last business year, that is, information regarding these events is published and relevant information published in the last annual financial report is updated (items 15 to 15C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(item 16.A (a) IAS 34- Interim financial reporting),
 d) a description of the financial performance in the case of the issuer whose business is seasonal (items 37 and 38 IAS 34- Interim financial reporting)
 e) other comments prescribed by IAS- Interim financial reporting and
 f) in the notes to quarterly financial statements, in addition to the information stated above, information in respect of the following matters shall be disclosed:
 1. undertaking's name, registered office (address), legal form, country of establishment, entity's registration number, personal identification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more than five years, as well as the total debts of the undertaking covered by valuable security furnished by the undertaking, specifying the type and form of security 
6. average number of employees during the current period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taxi 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absence of nominal value, the accounting par value of the shares subscribed during the financial year within the limits of the authorised capital 
11. the existence of any particular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quarterly financial statement of the largest group of undertakings of which the undertaking forms part as a controlled group member 
14. the name and registered office of the undertaking which draws up the quarterly financial statement of the smallest group of undertakings of which the undertaking forms part as a controlled group member and which is also included in the group of undertakings referred to in point 13. 
15. the place where copies of the quarterly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significant events arising after the balance sheet date which are not reflected in the income statement or balance sheet</t>
  </si>
  <si>
    <t>MON PERIN D.D. Group</t>
  </si>
  <si>
    <t>balance as at 31.12.2022.</t>
  </si>
  <si>
    <t>for the period 01.01.2022. to 31.12.2022.</t>
  </si>
  <si>
    <t>for the period 01.01.2022 to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</si>
</sst>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5" formatCode="000"/>
    <numFmt numFmtId="166" formatCode="00"/>
  </numFmts>
  <fonts count="45" x14ac:knownFonts="1">
    <font>
      <sz val="11"/>
      <color theme="1"/>
      <name val="Calibri"/>
      <family val="2"/>
      <charset val="238"/>
      <scheme val="minor"/>
    </font>
    <font>
      <sz val="11"/>
      <color theme="1"/>
      <name val="Calibri"/>
      <family val="2"/>
      <charset val="238"/>
      <scheme val="minor"/>
    </font>
    <font>
      <b/>
      <sz val="12"/>
      <color theme="1"/>
      <name val="Arial"/>
      <family val="2"/>
      <charset val="238"/>
    </font>
    <font>
      <sz val="11"/>
      <color theme="1"/>
      <name val="Arial"/>
      <family val="2"/>
      <charset val="238"/>
    </font>
    <font>
      <b/>
      <sz val="11"/>
      <name val="Arial"/>
      <family val="2"/>
      <charset val="238"/>
    </font>
    <font>
      <b/>
      <sz val="9"/>
      <name val="Arial"/>
      <family val="2"/>
      <charset val="238"/>
    </font>
    <font>
      <sz val="9"/>
      <name val="Arial"/>
      <family val="2"/>
      <charset val="238"/>
    </font>
    <font>
      <b/>
      <sz val="12"/>
      <color theme="1"/>
      <name val="Arial Rounded MT Bold"/>
      <family val="2"/>
    </font>
    <font>
      <sz val="11"/>
      <name val="Arial"/>
      <family val="2"/>
      <charset val="238"/>
    </font>
    <font>
      <sz val="10"/>
      <name val="Times New Roman"/>
      <family val="1"/>
      <charset val="238"/>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12"/>
      <name val="Arial"/>
      <family val="2"/>
      <charset val="238"/>
    </font>
    <font>
      <b/>
      <sz val="10"/>
      <name val="Arial"/>
      <family val="2"/>
      <charset val="238"/>
    </font>
    <font>
      <sz val="10"/>
      <name val="Arial"/>
      <family val="2"/>
      <charset val="238"/>
    </font>
    <font>
      <b/>
      <sz val="7"/>
      <name val="Arial"/>
      <family val="2"/>
      <charset val="238"/>
    </font>
    <font>
      <b/>
      <sz val="8"/>
      <name val="Arial"/>
      <family val="2"/>
      <charset val="238"/>
    </font>
    <font>
      <b/>
      <sz val="9"/>
      <color indexed="62"/>
      <name val="Arial"/>
      <family val="2"/>
      <charset val="238"/>
    </font>
    <font>
      <b/>
      <sz val="9"/>
      <color rgb="FF333399"/>
      <name val="Arial"/>
      <family val="2"/>
      <charset val="238"/>
    </font>
    <font>
      <sz val="9"/>
      <color rgb="FF333399"/>
      <name val="Arial"/>
      <family val="2"/>
      <charset val="238"/>
    </font>
    <font>
      <sz val="9"/>
      <color indexed="12"/>
      <name val="Arial"/>
      <family val="2"/>
      <charset val="238"/>
    </font>
    <font>
      <sz val="9"/>
      <color rgb="FF0000FF"/>
      <name val="Arial"/>
      <family val="2"/>
      <charset val="238"/>
    </font>
    <font>
      <b/>
      <sz val="9"/>
      <color indexed="18"/>
      <name val="Arial"/>
      <family val="2"/>
      <charset val="238"/>
    </font>
    <font>
      <b/>
      <sz val="9"/>
      <color rgb="FF000080"/>
      <name val="Arial"/>
      <family val="2"/>
      <charset val="238"/>
    </font>
    <font>
      <sz val="9"/>
      <color indexed="18"/>
      <name val="Arial"/>
      <family val="2"/>
      <charset val="238"/>
    </font>
    <font>
      <sz val="8"/>
      <name val="Arial"/>
      <family val="2"/>
      <charset val="238"/>
    </font>
    <font>
      <i/>
      <sz val="9"/>
      <name val="Arial"/>
      <family val="2"/>
      <charset val="238"/>
    </font>
    <font>
      <sz val="9"/>
      <color rgb="FF000080"/>
      <name val="Arial"/>
      <family val="2"/>
      <charset val="238"/>
    </font>
    <font>
      <sz val="10"/>
      <color indexed="8"/>
      <name val="Arial"/>
      <family val="2"/>
      <charset val="238"/>
    </font>
    <font>
      <b/>
      <sz val="8"/>
      <color indexed="9"/>
      <name val="Arial"/>
      <family val="2"/>
      <charset val="238"/>
    </font>
    <font>
      <b/>
      <sz val="8"/>
      <color rgb="FFFFFFFF"/>
      <name val="Arial"/>
      <family val="2"/>
      <charset val="238"/>
    </font>
    <font>
      <b/>
      <sz val="7"/>
      <color rgb="FFFFFFFF"/>
      <name val="Arial"/>
      <family val="2"/>
      <charset val="238"/>
    </font>
    <font>
      <b/>
      <sz val="8"/>
      <color indexed="18"/>
      <name val="Arial"/>
      <family val="2"/>
      <charset val="238"/>
    </font>
    <font>
      <b/>
      <sz val="8"/>
      <color rgb="FF000080"/>
      <name val="Arial"/>
      <family val="2"/>
      <charset val="238"/>
    </font>
    <font>
      <sz val="8"/>
      <color indexed="18"/>
      <name val="Arial"/>
      <family val="2"/>
      <charset val="238"/>
    </font>
    <font>
      <sz val="8"/>
      <color indexed="12"/>
      <name val="Arial"/>
      <family val="2"/>
      <charset val="238"/>
    </font>
    <font>
      <sz val="10"/>
      <name val="Arial"/>
      <family val="2"/>
    </font>
    <font>
      <u/>
      <sz val="10"/>
      <color indexed="12"/>
      <name val="Arial"/>
      <family val="2"/>
    </font>
    <font>
      <sz val="9"/>
      <color theme="1"/>
      <name val="Calibri"/>
      <family val="2"/>
      <charset val="238"/>
      <scheme val="minor"/>
    </font>
    <font>
      <sz val="10"/>
      <color theme="1"/>
      <name val="Calibri"/>
      <family val="2"/>
      <charset val="238"/>
      <scheme val="minor"/>
    </font>
    <font>
      <sz val="9"/>
      <color theme="4"/>
      <name val="Arial"/>
      <family val="2"/>
      <charset val="238"/>
    </font>
  </fonts>
  <fills count="16">
    <fill>
      <patternFill patternType="none"/>
    </fill>
    <fill>
      <patternFill patternType="gray125"/>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solid">
        <fgColor theme="4" tint="0.79998168889431442"/>
        <bgColor indexed="64"/>
      </patternFill>
    </fill>
    <fill>
      <patternFill patternType="gray125">
        <fgColor indexed="22"/>
      </patternFill>
    </fill>
    <fill>
      <patternFill patternType="mediumGray">
        <fgColor indexed="22"/>
      </patternFill>
    </fill>
    <fill>
      <patternFill patternType="gray125">
        <fgColor indexed="22"/>
        <bgColor indexed="22"/>
      </patternFill>
    </fill>
    <fill>
      <patternFill patternType="lightUp">
        <fgColor indexed="22"/>
      </patternFill>
    </fill>
    <fill>
      <patternFill patternType="solid">
        <fgColor indexed="65"/>
        <bgColor indexed="22"/>
      </patternFill>
    </fill>
    <fill>
      <patternFill patternType="solid">
        <fgColor theme="3" tint="0.79998168889431442"/>
        <bgColor indexed="64"/>
      </patternFill>
    </fill>
  </fills>
  <borders count="5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style="thin">
        <color indexed="64"/>
      </right>
      <top style="medium">
        <color indexed="22"/>
      </top>
      <bottom style="thin">
        <color indexed="64"/>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thin">
        <color indexed="64"/>
      </top>
      <bottom style="thin">
        <color indexed="22"/>
      </bottom>
      <diagonal/>
    </border>
    <border>
      <left/>
      <right/>
      <top style="thin">
        <color indexed="64"/>
      </top>
      <bottom style="medium">
        <color indexed="22"/>
      </bottom>
      <diagonal/>
    </border>
    <border>
      <left/>
      <right style="thin">
        <color indexed="64"/>
      </right>
      <top style="thin">
        <color indexed="64"/>
      </top>
      <bottom style="medium">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64"/>
      </right>
      <top/>
      <bottom style="thin">
        <color indexed="22"/>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8" fillId="0" borderId="0"/>
    <xf numFmtId="0" fontId="32" fillId="0" borderId="0">
      <alignment vertical="top"/>
    </xf>
    <xf numFmtId="0" fontId="40" fillId="0" borderId="0"/>
    <xf numFmtId="0" fontId="41" fillId="0" borderId="0" applyNumberFormat="0" applyFill="0" applyBorder="0" applyAlignment="0" applyProtection="0">
      <alignment vertical="top"/>
      <protection locked="0"/>
    </xf>
    <xf numFmtId="164" fontId="1" fillId="0" borderId="0" applyFont="0" applyFill="0" applyBorder="0" applyAlignment="0" applyProtection="0"/>
    <xf numFmtId="0" fontId="18" fillId="0" borderId="0"/>
  </cellStyleXfs>
  <cellXfs count="361">
    <xf numFmtId="0" fontId="0" fillId="0" borderId="0" xfId="0"/>
    <xf numFmtId="0" fontId="5" fillId="7" borderId="14" xfId="0" applyFont="1" applyFill="1" applyBorder="1" applyAlignment="1">
      <alignment horizontal="center" vertical="center" wrapText="1"/>
    </xf>
    <xf numFmtId="0" fontId="20" fillId="7" borderId="16" xfId="0" applyFont="1" applyFill="1" applyBorder="1" applyAlignment="1">
      <alignment horizontal="center" vertical="center"/>
    </xf>
    <xf numFmtId="165" fontId="5" fillId="0" borderId="20" xfId="0" applyNumberFormat="1" applyFont="1" applyBorder="1" applyAlignment="1">
      <alignment horizontal="center" vertical="center"/>
    </xf>
    <xf numFmtId="165" fontId="5" fillId="9" borderId="20" xfId="0" applyNumberFormat="1" applyFont="1" applyFill="1" applyBorder="1" applyAlignment="1">
      <alignment horizontal="center" vertical="center"/>
    </xf>
    <xf numFmtId="3" fontId="24" fillId="9" borderId="20" xfId="0" applyNumberFormat="1" applyFont="1" applyFill="1" applyBorder="1" applyAlignment="1">
      <alignment horizontal="right" vertical="center" shrinkToFit="1"/>
    </xf>
    <xf numFmtId="165" fontId="5" fillId="0" borderId="27" xfId="0" applyNumberFormat="1" applyFont="1" applyBorder="1" applyAlignment="1">
      <alignment horizontal="center" vertical="center"/>
    </xf>
    <xf numFmtId="0" fontId="5" fillId="7" borderId="14" xfId="1" applyFont="1" applyFill="1" applyBorder="1" applyAlignment="1">
      <alignment horizontal="center" vertical="center" wrapText="1"/>
    </xf>
    <xf numFmtId="3" fontId="20" fillId="7" borderId="14" xfId="1" applyNumberFormat="1" applyFont="1" applyFill="1" applyBorder="1" applyAlignment="1">
      <alignment horizontal="center" vertical="center" wrapText="1"/>
    </xf>
    <xf numFmtId="0" fontId="20" fillId="7" borderId="16" xfId="1" applyFont="1" applyFill="1" applyBorder="1" applyAlignment="1">
      <alignment horizontal="center" vertical="center"/>
    </xf>
    <xf numFmtId="3" fontId="20" fillId="7" borderId="16" xfId="1" applyNumberFormat="1" applyFont="1" applyFill="1" applyBorder="1" applyAlignment="1">
      <alignment horizontal="center" vertical="center" wrapText="1"/>
    </xf>
    <xf numFmtId="165" fontId="5" fillId="9" borderId="28" xfId="0" applyNumberFormat="1" applyFont="1" applyFill="1" applyBorder="1" applyAlignment="1">
      <alignment horizontal="center" vertical="center"/>
    </xf>
    <xf numFmtId="165" fontId="5" fillId="9" borderId="27" xfId="0" applyNumberFormat="1" applyFont="1" applyFill="1" applyBorder="1" applyAlignment="1">
      <alignment horizontal="center" vertical="center"/>
    </xf>
    <xf numFmtId="3" fontId="24" fillId="9" borderId="27" xfId="0" applyNumberFormat="1" applyFont="1" applyFill="1" applyBorder="1" applyAlignment="1">
      <alignment horizontal="right" vertical="center" shrinkToFit="1"/>
    </xf>
    <xf numFmtId="165" fontId="5" fillId="2" borderId="20" xfId="0" applyNumberFormat="1" applyFont="1" applyFill="1" applyBorder="1" applyAlignment="1">
      <alignment horizontal="center" vertical="center"/>
    </xf>
    <xf numFmtId="3" fontId="24" fillId="9" borderId="20" xfId="0" applyNumberFormat="1" applyFont="1" applyFill="1" applyBorder="1" applyAlignment="1">
      <alignment vertical="center"/>
    </xf>
    <xf numFmtId="3" fontId="24" fillId="9" borderId="27" xfId="0" applyNumberFormat="1" applyFont="1" applyFill="1" applyBorder="1" applyAlignment="1">
      <alignment vertical="center"/>
    </xf>
    <xf numFmtId="4" fontId="20" fillId="7" borderId="14" xfId="1" applyNumberFormat="1" applyFont="1" applyFill="1" applyBorder="1" applyAlignment="1">
      <alignment horizontal="center" vertical="center" wrapText="1"/>
    </xf>
    <xf numFmtId="165" fontId="5" fillId="2" borderId="37" xfId="0" applyNumberFormat="1" applyFont="1" applyFill="1" applyBorder="1" applyAlignment="1">
      <alignment horizontal="center" vertical="center"/>
    </xf>
    <xf numFmtId="3" fontId="24" fillId="9" borderId="20" xfId="0" applyNumberFormat="1" applyFont="1" applyFill="1" applyBorder="1" applyAlignment="1">
      <alignment horizontal="right" vertical="center"/>
    </xf>
    <xf numFmtId="3" fontId="24" fillId="9" borderId="27" xfId="0" applyNumberFormat="1" applyFont="1" applyFill="1" applyBorder="1" applyAlignment="1">
      <alignment horizontal="right" vertical="center"/>
    </xf>
    <xf numFmtId="165" fontId="5" fillId="0" borderId="37" xfId="0" applyNumberFormat="1" applyFont="1" applyBorder="1" applyAlignment="1">
      <alignment horizontal="center" vertical="center"/>
    </xf>
    <xf numFmtId="3" fontId="24" fillId="0" borderId="27" xfId="0" applyNumberFormat="1" applyFont="1" applyBorder="1" applyAlignment="1">
      <alignment vertical="center"/>
    </xf>
    <xf numFmtId="3" fontId="18" fillId="0" borderId="0" xfId="2" applyNumberFormat="1" applyFont="1" applyAlignment="1">
      <alignment wrapText="1"/>
    </xf>
    <xf numFmtId="3" fontId="18" fillId="0" borderId="0" xfId="1" applyNumberFormat="1"/>
    <xf numFmtId="0" fontId="16" fillId="0" borderId="0" xfId="2" applyFont="1" applyAlignment="1">
      <alignment horizontal="center" vertical="center" wrapText="1"/>
    </xf>
    <xf numFmtId="0" fontId="18" fillId="0" borderId="0" xfId="1" applyAlignment="1">
      <alignment horizontal="center" vertical="center" wrapText="1"/>
    </xf>
    <xf numFmtId="0" fontId="17" fillId="0" borderId="0" xfId="2" applyFont="1" applyAlignment="1">
      <alignment horizontal="center" vertical="center"/>
    </xf>
    <xf numFmtId="3" fontId="18" fillId="0" borderId="0" xfId="1" applyNumberFormat="1" applyAlignment="1">
      <alignment horizontal="center" vertical="center" wrapText="1"/>
    </xf>
    <xf numFmtId="3" fontId="33" fillId="7" borderId="42" xfId="0" applyNumberFormat="1" applyFont="1" applyFill="1" applyBorder="1" applyAlignment="1">
      <alignment horizontal="center" vertical="center" wrapText="1"/>
    </xf>
    <xf numFmtId="3" fontId="34" fillId="7" borderId="42" xfId="0" applyNumberFormat="1" applyFont="1" applyFill="1" applyBorder="1" applyAlignment="1">
      <alignment horizontal="center" vertical="center" wrapText="1"/>
    </xf>
    <xf numFmtId="49" fontId="33" fillId="7" borderId="45" xfId="0" applyNumberFormat="1" applyFont="1" applyFill="1" applyBorder="1" applyAlignment="1">
      <alignment horizontal="center" vertical="center"/>
    </xf>
    <xf numFmtId="3" fontId="33" fillId="7" borderId="45" xfId="0" applyNumberFormat="1" applyFont="1" applyFill="1" applyBorder="1" applyAlignment="1">
      <alignment horizontal="center" vertical="center" wrapText="1"/>
    </xf>
    <xf numFmtId="3" fontId="33" fillId="7" borderId="45" xfId="0" applyNumberFormat="1" applyFont="1" applyFill="1" applyBorder="1" applyAlignment="1">
      <alignment horizontal="center" vertical="center"/>
    </xf>
    <xf numFmtId="3" fontId="33" fillId="7" borderId="46" xfId="0" applyNumberFormat="1" applyFont="1" applyFill="1" applyBorder="1" applyAlignment="1">
      <alignment horizontal="center" vertical="center"/>
    </xf>
    <xf numFmtId="166" fontId="20" fillId="0" borderId="48" xfId="0" applyNumberFormat="1" applyFont="1" applyBorder="1" applyAlignment="1">
      <alignment horizontal="center" vertical="center"/>
    </xf>
    <xf numFmtId="3" fontId="29" fillId="0" borderId="48" xfId="0" applyNumberFormat="1" applyFont="1" applyBorder="1" applyAlignment="1" applyProtection="1">
      <alignment vertical="center" shrinkToFit="1"/>
      <protection locked="0"/>
    </xf>
    <xf numFmtId="3" fontId="39" fillId="0" borderId="48" xfId="0" applyNumberFormat="1" applyFont="1" applyBorder="1" applyAlignment="1">
      <alignment vertical="center" shrinkToFit="1"/>
    </xf>
    <xf numFmtId="166" fontId="20" fillId="9" borderId="48" xfId="0" applyNumberFormat="1" applyFont="1" applyFill="1" applyBorder="1" applyAlignment="1">
      <alignment horizontal="center" vertical="center"/>
    </xf>
    <xf numFmtId="3" fontId="39" fillId="9" borderId="48" xfId="0" applyNumberFormat="1" applyFont="1" applyFill="1" applyBorder="1" applyAlignment="1">
      <alignment vertical="center" shrinkToFit="1"/>
    </xf>
    <xf numFmtId="3" fontId="29" fillId="13" borderId="48" xfId="0" applyNumberFormat="1" applyFont="1" applyFill="1" applyBorder="1" applyAlignment="1">
      <alignment vertical="center" shrinkToFit="1"/>
    </xf>
    <xf numFmtId="166" fontId="20" fillId="9" borderId="49" xfId="0" applyNumberFormat="1" applyFont="1" applyFill="1" applyBorder="1" applyAlignment="1">
      <alignment horizontal="center" vertical="center"/>
    </xf>
    <xf numFmtId="3" fontId="39" fillId="9" borderId="49" xfId="0" applyNumberFormat="1" applyFont="1" applyFill="1" applyBorder="1" applyAlignment="1">
      <alignment vertical="center" shrinkToFit="1"/>
    </xf>
    <xf numFmtId="3" fontId="5" fillId="7" borderId="15" xfId="0" applyNumberFormat="1" applyFont="1" applyFill="1" applyBorder="1" applyAlignment="1">
      <alignment horizontal="center" vertical="center" wrapText="1"/>
    </xf>
    <xf numFmtId="3" fontId="5" fillId="7" borderId="14" xfId="0" applyNumberFormat="1" applyFont="1" applyFill="1" applyBorder="1" applyAlignment="1">
      <alignment horizontal="center" vertical="center" wrapText="1"/>
    </xf>
    <xf numFmtId="3" fontId="5" fillId="7" borderId="16" xfId="0" applyNumberFormat="1" applyFont="1" applyFill="1" applyBorder="1" applyAlignment="1">
      <alignment horizontal="center" vertical="center" wrapText="1"/>
    </xf>
    <xf numFmtId="0" fontId="42" fillId="0" borderId="0" xfId="0" applyFont="1"/>
    <xf numFmtId="164" fontId="0" fillId="0" borderId="0" xfId="5" applyFont="1"/>
    <xf numFmtId="3" fontId="24" fillId="2" borderId="20" xfId="0" applyNumberFormat="1" applyFont="1" applyFill="1" applyBorder="1" applyAlignment="1">
      <alignment horizontal="right" vertical="center" shrinkToFit="1"/>
    </xf>
    <xf numFmtId="3" fontId="6" fillId="0" borderId="20" xfId="0" applyNumberFormat="1" applyFont="1" applyBorder="1" applyAlignment="1">
      <alignment vertical="center"/>
    </xf>
    <xf numFmtId="3" fontId="6" fillId="0" borderId="37" xfId="0" applyNumberFormat="1" applyFont="1" applyBorder="1" applyAlignment="1">
      <alignment horizontal="right" vertical="center"/>
    </xf>
    <xf numFmtId="3" fontId="6" fillId="0" borderId="20" xfId="0" applyNumberFormat="1" applyFont="1" applyBorder="1" applyAlignment="1">
      <alignment horizontal="right" vertical="center"/>
    </xf>
    <xf numFmtId="3" fontId="6" fillId="0" borderId="37" xfId="0" applyNumberFormat="1" applyFont="1" applyBorder="1" applyAlignment="1">
      <alignment vertical="center"/>
    </xf>
    <xf numFmtId="0" fontId="3" fillId="2" borderId="2" xfId="0" applyFont="1" applyFill="1" applyBorder="1"/>
    <xf numFmtId="0" fontId="0" fillId="2" borderId="3" xfId="0" applyFill="1" applyBorder="1"/>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6" fillId="2" borderId="0" xfId="0" applyFont="1" applyFill="1" applyAlignment="1">
      <alignment horizontal="center" vertical="center"/>
    </xf>
    <xf numFmtId="0" fontId="6" fillId="2" borderId="8" xfId="0" applyFont="1" applyFill="1" applyBorder="1" applyAlignment="1">
      <alignment vertical="center"/>
    </xf>
    <xf numFmtId="0" fontId="5" fillId="2" borderId="4" xfId="0" applyFont="1" applyFill="1" applyBorder="1" applyAlignment="1">
      <alignment vertical="center" wrapText="1"/>
    </xf>
    <xf numFmtId="0" fontId="5" fillId="2" borderId="0" xfId="0" applyFont="1" applyFill="1" applyAlignment="1">
      <alignment horizontal="right" vertical="center" wrapText="1"/>
    </xf>
    <xf numFmtId="0" fontId="5" fillId="2" borderId="0" xfId="0" applyFont="1" applyFill="1" applyAlignment="1">
      <alignment vertical="center" wrapText="1"/>
    </xf>
    <xf numFmtId="1" fontId="5" fillId="3" borderId="9" xfId="0" applyNumberFormat="1" applyFont="1" applyFill="1" applyBorder="1" applyAlignment="1">
      <alignment horizontal="center" vertical="center"/>
    </xf>
    <xf numFmtId="14" fontId="5" fillId="4" borderId="0" xfId="0" applyNumberFormat="1" applyFont="1" applyFill="1" applyAlignment="1">
      <alignment horizontal="center" vertical="center"/>
    </xf>
    <xf numFmtId="0" fontId="6" fillId="2" borderId="5" xfId="0" applyFont="1" applyFill="1" applyBorder="1" applyAlignment="1">
      <alignment vertical="center"/>
    </xf>
    <xf numFmtId="14" fontId="5" fillId="5" borderId="0" xfId="0" applyNumberFormat="1" applyFont="1" applyFill="1" applyAlignment="1">
      <alignment horizontal="center" vertical="center"/>
    </xf>
    <xf numFmtId="0" fontId="0" fillId="2" borderId="5" xfId="0" applyFill="1" applyBorder="1"/>
    <xf numFmtId="0" fontId="8" fillId="2" borderId="4" xfId="0" applyFont="1" applyFill="1" applyBorder="1"/>
    <xf numFmtId="0" fontId="8" fillId="2" borderId="0" xfId="0" applyFont="1" applyFill="1"/>
    <xf numFmtId="0" fontId="8" fillId="2" borderId="0" xfId="0" applyFont="1" applyFill="1" applyAlignment="1">
      <alignment vertical="center"/>
    </xf>
    <xf numFmtId="0" fontId="8" fillId="2" borderId="5" xfId="0" applyFont="1" applyFill="1" applyBorder="1" applyAlignment="1">
      <alignment vertical="center"/>
    </xf>
    <xf numFmtId="0" fontId="8" fillId="2" borderId="4" xfId="0" applyFont="1" applyFill="1" applyBorder="1" applyAlignment="1">
      <alignment wrapText="1"/>
    </xf>
    <xf numFmtId="0" fontId="8" fillId="2" borderId="5" xfId="0" applyFont="1" applyFill="1" applyBorder="1" applyAlignment="1">
      <alignment wrapText="1"/>
    </xf>
    <xf numFmtId="0" fontId="8" fillId="2" borderId="0" xfId="3" applyFont="1" applyFill="1"/>
    <xf numFmtId="0" fontId="8" fillId="2" borderId="0" xfId="0" applyFont="1" applyFill="1" applyAlignment="1">
      <alignment wrapText="1"/>
    </xf>
    <xf numFmtId="0" fontId="8" fillId="2" borderId="5" xfId="0" applyFont="1" applyFill="1" applyBorder="1"/>
    <xf numFmtId="0" fontId="6" fillId="2" borderId="0" xfId="0" applyFont="1" applyFill="1" applyAlignment="1">
      <alignment horizontal="right" vertical="center" wrapText="1"/>
    </xf>
    <xf numFmtId="0" fontId="9" fillId="2" borderId="5" xfId="0" applyFont="1" applyFill="1" applyBorder="1" applyAlignment="1">
      <alignment vertical="center"/>
    </xf>
    <xf numFmtId="0" fontId="9" fillId="2" borderId="0" xfId="0" applyFont="1" applyFill="1" applyAlignment="1">
      <alignment vertical="center"/>
    </xf>
    <xf numFmtId="0" fontId="8" fillId="2" borderId="0" xfId="3" applyFont="1" applyFill="1" applyAlignment="1">
      <alignment vertical="top"/>
    </xf>
    <xf numFmtId="0" fontId="8" fillId="2" borderId="5" xfId="3" applyFont="1" applyFill="1" applyBorder="1"/>
    <xf numFmtId="0" fontId="8" fillId="2" borderId="0" xfId="0" applyFont="1" applyFill="1" applyAlignment="1">
      <alignment vertical="top"/>
    </xf>
    <xf numFmtId="0" fontId="5" fillId="3" borderId="9" xfId="3" applyFont="1" applyFill="1" applyBorder="1" applyAlignment="1">
      <alignment horizontal="center" vertical="center"/>
    </xf>
    <xf numFmtId="0" fontId="5" fillId="2" borderId="0" xfId="0" applyFont="1" applyFill="1" applyAlignment="1">
      <alignment vertical="center"/>
    </xf>
    <xf numFmtId="49" fontId="5" fillId="3" borderId="9" xfId="3" applyNumberFormat="1" applyFont="1" applyFill="1" applyBorder="1" applyAlignment="1">
      <alignment horizontal="center" vertical="center"/>
    </xf>
    <xf numFmtId="0" fontId="10" fillId="2" borderId="0" xfId="0" applyFont="1" applyFill="1"/>
    <xf numFmtId="0" fontId="11" fillId="2" borderId="0" xfId="0" applyFont="1" applyFill="1" applyAlignment="1">
      <alignment vertical="center"/>
    </xf>
    <xf numFmtId="0" fontId="12" fillId="2" borderId="5" xfId="0" applyFont="1" applyFill="1" applyBorder="1" applyAlignment="1">
      <alignment vertical="center"/>
    </xf>
    <xf numFmtId="0" fontId="5" fillId="2" borderId="0" xfId="3" applyFont="1" applyFill="1" applyAlignment="1">
      <alignment horizontal="center" vertical="center"/>
    </xf>
    <xf numFmtId="0" fontId="14" fillId="2" borderId="0" xfId="0" applyFont="1" applyFill="1" applyAlignment="1">
      <alignment vertical="center"/>
    </xf>
    <xf numFmtId="0" fontId="15" fillId="2" borderId="0" xfId="0" applyFont="1" applyFill="1" applyAlignment="1">
      <alignment vertical="center"/>
    </xf>
    <xf numFmtId="0" fontId="13" fillId="2" borderId="5" xfId="0" applyFont="1" applyFill="1" applyBorder="1" applyAlignment="1">
      <alignment vertical="center"/>
    </xf>
    <xf numFmtId="0" fontId="6" fillId="2" borderId="5" xfId="0" applyFont="1" applyFill="1" applyBorder="1" applyAlignment="1">
      <alignment horizontal="center" vertical="center"/>
    </xf>
    <xf numFmtId="0" fontId="5" fillId="3" borderId="9" xfId="0" applyFont="1" applyFill="1" applyBorder="1" applyAlignment="1">
      <alignment horizontal="center" vertical="center"/>
    </xf>
    <xf numFmtId="0" fontId="8" fillId="2" borderId="0" xfId="0" applyFont="1" applyFill="1" applyAlignment="1">
      <alignment vertical="top" wrapText="1"/>
    </xf>
    <xf numFmtId="0" fontId="8" fillId="2" borderId="4" xfId="0" applyFont="1" applyFill="1" applyBorder="1" applyAlignment="1">
      <alignment vertical="top"/>
    </xf>
    <xf numFmtId="0" fontId="10" fillId="2" borderId="5" xfId="0" applyFont="1" applyFill="1" applyBorder="1"/>
    <xf numFmtId="0" fontId="0" fillId="2" borderId="6" xfId="0" applyFill="1" applyBorder="1"/>
    <xf numFmtId="0" fontId="0" fillId="2" borderId="10" xfId="0" applyFill="1" applyBorder="1"/>
    <xf numFmtId="0" fontId="0" fillId="2" borderId="7" xfId="0" applyFill="1" applyBorder="1"/>
    <xf numFmtId="0" fontId="5" fillId="7" borderId="8" xfId="1" applyFont="1" applyFill="1" applyBorder="1" applyAlignment="1">
      <alignment horizontal="center" vertical="center" wrapText="1"/>
    </xf>
    <xf numFmtId="3" fontId="20" fillId="7" borderId="8" xfId="1" applyNumberFormat="1" applyFont="1" applyFill="1" applyBorder="1" applyAlignment="1">
      <alignment horizontal="center" vertical="center" wrapText="1"/>
    </xf>
    <xf numFmtId="49" fontId="5" fillId="3" borderId="7" xfId="0" applyNumberFormat="1" applyFont="1" applyFill="1" applyBorder="1" applyAlignment="1" applyProtection="1">
      <alignment horizontal="center" vertical="center"/>
      <protection locked="0"/>
    </xf>
    <xf numFmtId="0" fontId="8" fillId="2" borderId="4" xfId="3" applyFont="1" applyFill="1" applyBorder="1"/>
    <xf numFmtId="0" fontId="8" fillId="2" borderId="0" xfId="3" applyFont="1" applyFill="1" applyAlignment="1">
      <alignment vertical="top" wrapText="1"/>
    </xf>
    <xf numFmtId="49" fontId="5" fillId="3" borderId="9" xfId="0" applyNumberFormat="1" applyFont="1" applyFill="1" applyBorder="1" applyAlignment="1" applyProtection="1">
      <alignment horizontal="center" vertical="center"/>
      <protection locked="0"/>
    </xf>
    <xf numFmtId="0" fontId="8" fillId="2" borderId="0" xfId="3" applyFont="1" applyFill="1" applyAlignment="1">
      <alignment wrapText="1"/>
    </xf>
    <xf numFmtId="14" fontId="17" fillId="14" borderId="0" xfId="2" applyNumberFormat="1" applyFont="1" applyFill="1" applyAlignment="1">
      <alignment horizontal="center" vertical="center"/>
    </xf>
    <xf numFmtId="14" fontId="17" fillId="0" borderId="0" xfId="2" applyNumberFormat="1" applyFont="1" applyAlignment="1">
      <alignment horizontal="center"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5" fillId="2" borderId="4" xfId="0" applyFont="1" applyFill="1" applyBorder="1" applyAlignment="1">
      <alignment vertical="center" wrapText="1"/>
    </xf>
    <xf numFmtId="0" fontId="5" fillId="2" borderId="0" xfId="0" applyFont="1" applyFill="1" applyAlignment="1">
      <alignment vertical="center" wrapText="1"/>
    </xf>
    <xf numFmtId="14" fontId="5" fillId="3" borderId="6"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8" fillId="2" borderId="0" xfId="0" applyFont="1" applyFill="1" applyAlignment="1">
      <alignment wrapText="1"/>
    </xf>
    <xf numFmtId="0" fontId="6" fillId="2" borderId="4" xfId="0" applyFont="1" applyFill="1" applyBorder="1" applyAlignment="1">
      <alignment horizontal="right" vertical="center" wrapText="1"/>
    </xf>
    <xf numFmtId="0" fontId="6" fillId="2" borderId="0" xfId="0" applyFont="1" applyFill="1" applyAlignment="1">
      <alignment horizontal="right" vertical="center"/>
    </xf>
    <xf numFmtId="0" fontId="8" fillId="2" borderId="4" xfId="0" applyFont="1" applyFill="1" applyBorder="1" applyAlignment="1">
      <alignment wrapText="1"/>
    </xf>
    <xf numFmtId="0" fontId="7" fillId="2" borderId="4" xfId="0" applyFont="1" applyFill="1" applyBorder="1" applyAlignment="1">
      <alignment horizontal="center" vertical="center" wrapText="1"/>
    </xf>
    <xf numFmtId="0" fontId="7" fillId="2" borderId="0" xfId="0" applyFont="1" applyFill="1" applyAlignment="1">
      <alignment horizontal="center" vertical="center" wrapText="1"/>
    </xf>
    <xf numFmtId="0" fontId="8" fillId="2" borderId="0" xfId="0" applyFont="1" applyFill="1" applyAlignment="1">
      <alignment vertical="center" wrapText="1"/>
    </xf>
    <xf numFmtId="0" fontId="8" fillId="2" borderId="0" xfId="0" applyFont="1" applyFill="1"/>
    <xf numFmtId="0" fontId="6" fillId="2" borderId="4" xfId="0" applyFont="1" applyFill="1" applyBorder="1" applyAlignment="1">
      <alignment horizontal="right" vertical="center"/>
    </xf>
    <xf numFmtId="0" fontId="6" fillId="2" borderId="0" xfId="0" applyFont="1" applyFill="1" applyAlignment="1">
      <alignment horizontal="right" vertical="center" wrapText="1"/>
    </xf>
    <xf numFmtId="0" fontId="6" fillId="2" borderId="5" xfId="0" applyFont="1" applyFill="1" applyBorder="1" applyAlignment="1">
      <alignment horizontal="right" vertical="center" wrapText="1"/>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9" fillId="2" borderId="4" xfId="0" applyFont="1" applyFill="1" applyBorder="1" applyAlignment="1">
      <alignment vertical="center"/>
    </xf>
    <xf numFmtId="0" fontId="9" fillId="2" borderId="0" xfId="0" applyFont="1" applyFill="1" applyAlignment="1">
      <alignment vertical="center"/>
    </xf>
    <xf numFmtId="0" fontId="5" fillId="3" borderId="6" xfId="3" applyFont="1" applyFill="1" applyBorder="1" applyAlignment="1">
      <alignment vertical="center"/>
    </xf>
    <xf numFmtId="0" fontId="5" fillId="3" borderId="10" xfId="3" applyFont="1" applyFill="1" applyBorder="1" applyAlignment="1">
      <alignment vertical="center"/>
    </xf>
    <xf numFmtId="0" fontId="5" fillId="3" borderId="7" xfId="3" applyFont="1" applyFill="1" applyBorder="1" applyAlignment="1">
      <alignment vertical="center"/>
    </xf>
    <xf numFmtId="0" fontId="8" fillId="2" borderId="0" xfId="3" applyFont="1" applyFill="1"/>
    <xf numFmtId="0" fontId="5" fillId="3" borderId="6" xfId="3" applyFont="1" applyFill="1" applyBorder="1" applyAlignment="1">
      <alignment horizontal="center" vertical="center"/>
    </xf>
    <xf numFmtId="0" fontId="5" fillId="3" borderId="7" xfId="3" applyFont="1" applyFill="1" applyBorder="1" applyAlignment="1">
      <alignment horizontal="center" vertical="center"/>
    </xf>
    <xf numFmtId="0" fontId="8" fillId="3" borderId="6" xfId="3" applyFont="1" applyFill="1" applyBorder="1" applyAlignment="1">
      <alignment vertical="center"/>
    </xf>
    <xf numFmtId="0" fontId="8" fillId="3" borderId="10" xfId="3" applyFont="1" applyFill="1" applyBorder="1" applyAlignment="1">
      <alignment vertical="center"/>
    </xf>
    <xf numFmtId="0" fontId="8" fillId="3" borderId="7" xfId="3" applyFont="1" applyFill="1" applyBorder="1" applyAlignment="1">
      <alignment vertical="center"/>
    </xf>
    <xf numFmtId="0" fontId="8" fillId="2" borderId="0" xfId="0" applyFont="1" applyFill="1" applyAlignment="1">
      <alignment vertical="top"/>
    </xf>
    <xf numFmtId="0" fontId="6" fillId="2" borderId="4" xfId="0" applyFont="1" applyFill="1" applyBorder="1" applyAlignment="1">
      <alignment horizontal="left" vertical="center"/>
    </xf>
    <xf numFmtId="0" fontId="6" fillId="2" borderId="0" xfId="0" applyFont="1" applyFill="1" applyAlignment="1">
      <alignment horizontal="left" vertical="center"/>
    </xf>
    <xf numFmtId="0" fontId="5" fillId="3" borderId="6" xfId="0" applyFont="1" applyFill="1" applyBorder="1" applyAlignment="1">
      <alignment horizontal="right" vertical="center"/>
    </xf>
    <xf numFmtId="0" fontId="5" fillId="3" borderId="10" xfId="0" applyFont="1" applyFill="1" applyBorder="1" applyAlignment="1">
      <alignment horizontal="right" vertical="center"/>
    </xf>
    <xf numFmtId="0" fontId="5" fillId="3" borderId="7" xfId="0" applyFont="1" applyFill="1" applyBorder="1" applyAlignment="1">
      <alignment horizontal="right" vertical="center"/>
    </xf>
    <xf numFmtId="49" fontId="5" fillId="3" borderId="6" xfId="3" applyNumberFormat="1" applyFont="1" applyFill="1" applyBorder="1" applyAlignment="1">
      <alignment vertical="center"/>
    </xf>
    <xf numFmtId="49" fontId="5" fillId="3" borderId="10" xfId="3" applyNumberFormat="1" applyFont="1" applyFill="1" applyBorder="1" applyAlignment="1">
      <alignment vertical="center"/>
    </xf>
    <xf numFmtId="49" fontId="5" fillId="3" borderId="7" xfId="3" applyNumberFormat="1" applyFont="1" applyFill="1" applyBorder="1" applyAlignment="1">
      <alignment vertical="center"/>
    </xf>
    <xf numFmtId="0" fontId="41" fillId="3" borderId="6" xfId="4" applyFill="1" applyBorder="1" applyAlignment="1" applyProtection="1">
      <alignment vertical="center"/>
    </xf>
    <xf numFmtId="0" fontId="6" fillId="2" borderId="0" xfId="0" applyFont="1" applyFill="1" applyAlignment="1">
      <alignment horizontal="center" vertical="center"/>
    </xf>
    <xf numFmtId="0" fontId="6" fillId="2" borderId="5" xfId="0" applyFont="1" applyFill="1" applyBorder="1" applyAlignment="1">
      <alignment horizontal="center" vertical="center"/>
    </xf>
    <xf numFmtId="0" fontId="6" fillId="2" borderId="2" xfId="0" applyFont="1" applyFill="1" applyBorder="1" applyAlignment="1">
      <alignment horizontal="left" vertical="center" wrapText="1"/>
    </xf>
    <xf numFmtId="0" fontId="6" fillId="2" borderId="0" xfId="0" applyFont="1" applyFill="1" applyAlignment="1">
      <alignment vertical="center"/>
    </xf>
    <xf numFmtId="0" fontId="5" fillId="3" borderId="6" xfId="0" applyFont="1" applyFill="1" applyBorder="1" applyAlignment="1" applyProtection="1">
      <alignment horizontal="right" vertical="center"/>
      <protection locked="0"/>
    </xf>
    <xf numFmtId="0" fontId="5" fillId="3" borderId="10" xfId="0" applyFont="1" applyFill="1" applyBorder="1" applyAlignment="1" applyProtection="1">
      <alignment horizontal="right" vertical="center"/>
      <protection locked="0"/>
    </xf>
    <xf numFmtId="0" fontId="5" fillId="3" borderId="7" xfId="0" applyFont="1" applyFill="1" applyBorder="1" applyAlignment="1" applyProtection="1">
      <alignment horizontal="right" vertical="center"/>
      <protection locked="0"/>
    </xf>
    <xf numFmtId="0" fontId="8" fillId="2" borderId="0" xfId="0" applyFont="1" applyFill="1" applyAlignment="1">
      <alignment vertical="top" wrapText="1"/>
    </xf>
    <xf numFmtId="0" fontId="41" fillId="3" borderId="6" xfId="4" applyFill="1" applyBorder="1" applyAlignment="1" applyProtection="1"/>
    <xf numFmtId="0" fontId="8" fillId="3" borderId="10" xfId="3" applyFont="1" applyFill="1" applyBorder="1"/>
    <xf numFmtId="0" fontId="8" fillId="3" borderId="7" xfId="3" applyFont="1" applyFill="1" applyBorder="1"/>
    <xf numFmtId="0" fontId="8" fillId="2" borderId="0" xfId="3" applyFont="1" applyFill="1" applyAlignment="1">
      <alignment vertical="top" wrapText="1"/>
    </xf>
    <xf numFmtId="0" fontId="6" fillId="2" borderId="4" xfId="0" applyFont="1" applyFill="1" applyBorder="1" applyAlignment="1">
      <alignment horizontal="center" vertical="center"/>
    </xf>
    <xf numFmtId="0" fontId="6" fillId="2" borderId="11" xfId="0" applyFont="1" applyFill="1" applyBorder="1" applyAlignment="1">
      <alignment horizontal="left" vertical="center" wrapText="1"/>
    </xf>
    <xf numFmtId="49" fontId="5" fillId="3" borderId="6" xfId="3" applyNumberFormat="1" applyFont="1" applyFill="1" applyBorder="1" applyAlignment="1">
      <alignment horizontal="center" vertical="center"/>
    </xf>
    <xf numFmtId="49" fontId="5" fillId="3" borderId="7" xfId="3" applyNumberFormat="1" applyFont="1" applyFill="1" applyBorder="1" applyAlignment="1">
      <alignment horizontal="center" vertical="center"/>
    </xf>
    <xf numFmtId="0" fontId="13" fillId="2" borderId="0" xfId="0" applyFont="1" applyFill="1" applyAlignment="1">
      <alignment vertical="center"/>
    </xf>
    <xf numFmtId="0" fontId="13" fillId="2" borderId="5" xfId="0" applyFont="1" applyFill="1" applyBorder="1" applyAlignment="1">
      <alignment vertical="center"/>
    </xf>
    <xf numFmtId="0" fontId="8" fillId="2" borderId="2" xfId="0" applyFont="1" applyFill="1" applyBorder="1"/>
    <xf numFmtId="0" fontId="8" fillId="2" borderId="0" xfId="0" applyFont="1" applyFill="1" applyAlignment="1">
      <alignment vertical="center"/>
    </xf>
    <xf numFmtId="0" fontId="8" fillId="2" borderId="5" xfId="0" applyFont="1" applyFill="1" applyBorder="1" applyAlignment="1">
      <alignment vertical="center"/>
    </xf>
    <xf numFmtId="0" fontId="18" fillId="8" borderId="10" xfId="0" applyFont="1" applyFill="1" applyBorder="1" applyAlignment="1">
      <alignment horizontal="left" vertical="center" wrapText="1"/>
    </xf>
    <xf numFmtId="0" fontId="18" fillId="8" borderId="7" xfId="0" applyFont="1" applyFill="1" applyBorder="1" applyAlignment="1">
      <alignment horizontal="left" vertical="center" wrapText="1"/>
    </xf>
    <xf numFmtId="0" fontId="21" fillId="0" borderId="17" xfId="0" applyFont="1" applyBorder="1" applyAlignment="1">
      <alignment horizontal="left" vertical="center" wrapText="1"/>
    </xf>
    <xf numFmtId="0" fontId="21" fillId="0" borderId="18" xfId="0" applyFont="1" applyBorder="1" applyAlignment="1">
      <alignment horizontal="left" vertical="center" wrapText="1"/>
    </xf>
    <xf numFmtId="0" fontId="21" fillId="0" borderId="19" xfId="0" applyFont="1" applyBorder="1" applyAlignment="1">
      <alignment horizontal="left" vertical="center" wrapText="1"/>
    </xf>
    <xf numFmtId="0" fontId="21" fillId="9" borderId="21" xfId="0" applyFont="1" applyFill="1" applyBorder="1" applyAlignment="1">
      <alignment horizontal="left" vertical="center" wrapText="1"/>
    </xf>
    <xf numFmtId="0" fontId="21" fillId="9" borderId="22" xfId="0" applyFont="1" applyFill="1" applyBorder="1" applyAlignment="1">
      <alignment horizontal="left" vertical="center" wrapText="1"/>
    </xf>
    <xf numFmtId="0" fontId="21" fillId="9" borderId="23" xfId="0" applyFont="1" applyFill="1" applyBorder="1" applyAlignment="1">
      <alignment horizontal="left" vertical="center" wrapText="1"/>
    </xf>
    <xf numFmtId="0" fontId="24" fillId="9" borderId="21" xfId="0" applyFont="1" applyFill="1" applyBorder="1" applyAlignment="1">
      <alignment horizontal="left" vertical="center" wrapText="1"/>
    </xf>
    <xf numFmtId="0" fontId="24" fillId="9" borderId="22" xfId="0" applyFont="1" applyFill="1" applyBorder="1" applyAlignment="1">
      <alignment horizontal="left" vertical="center" wrapText="1"/>
    </xf>
    <xf numFmtId="0" fontId="24" fillId="9" borderId="23" xfId="0" applyFont="1" applyFill="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16" fillId="0" borderId="0" xfId="0" applyFont="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top" wrapText="1"/>
    </xf>
    <xf numFmtId="0" fontId="0" fillId="0" borderId="0" xfId="0" applyAlignment="1">
      <alignment horizontal="center" wrapText="1"/>
    </xf>
    <xf numFmtId="0" fontId="18" fillId="0" borderId="10" xfId="0" applyFont="1" applyBorder="1" applyAlignment="1">
      <alignment horizontal="right" vertical="top" wrapText="1"/>
    </xf>
    <xf numFmtId="0" fontId="17" fillId="6" borderId="12" xfId="0" applyFont="1" applyFill="1" applyBorder="1" applyAlignment="1">
      <alignment vertical="center" wrapText="1"/>
    </xf>
    <xf numFmtId="0" fontId="0" fillId="0" borderId="11" xfId="0" applyBorder="1" applyAlignment="1">
      <alignment vertical="center" wrapText="1"/>
    </xf>
    <xf numFmtId="0" fontId="0" fillId="0" borderId="13" xfId="0" applyBorder="1" applyAlignment="1">
      <alignment vertical="center" wrapText="1"/>
    </xf>
    <xf numFmtId="0" fontId="5" fillId="7"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0" fillId="7" borderId="10" xfId="0" applyFont="1" applyFill="1"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24" fillId="0" borderId="21" xfId="0" applyFont="1" applyBorder="1" applyAlignment="1">
      <alignment horizontal="left" vertical="center" wrapText="1"/>
    </xf>
    <xf numFmtId="0" fontId="24" fillId="0" borderId="22" xfId="0" applyFont="1" applyBorder="1" applyAlignment="1">
      <alignment horizontal="left" vertical="center" wrapText="1"/>
    </xf>
    <xf numFmtId="0" fontId="24" fillId="0" borderId="23" xfId="0" applyFont="1" applyBorder="1" applyAlignment="1">
      <alignment horizontal="left" vertical="center" wrapText="1"/>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applyAlignment="1">
      <alignment horizontal="left" vertical="center" wrapText="1"/>
    </xf>
    <xf numFmtId="0" fontId="6" fillId="0" borderId="20" xfId="0" applyFont="1" applyBorder="1" applyAlignment="1">
      <alignment horizontal="left" vertical="center" wrapText="1"/>
    </xf>
    <xf numFmtId="0" fontId="24" fillId="0" borderId="20" xfId="0" applyFont="1" applyBorder="1" applyAlignment="1">
      <alignment horizontal="left" vertical="center" wrapText="1"/>
    </xf>
    <xf numFmtId="0" fontId="21" fillId="0" borderId="24" xfId="0" applyFont="1" applyBorder="1" applyAlignment="1">
      <alignment horizontal="left" vertical="center" wrapText="1"/>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0" fontId="26" fillId="8" borderId="28" xfId="0" applyFont="1" applyFill="1" applyBorder="1" applyAlignment="1">
      <alignment horizontal="left" vertical="center" wrapText="1"/>
    </xf>
    <xf numFmtId="0" fontId="28" fillId="8" borderId="28" xfId="0" applyFont="1" applyFill="1" applyBorder="1" applyAlignment="1">
      <alignment vertical="center"/>
    </xf>
    <xf numFmtId="0" fontId="22" fillId="9" borderId="20" xfId="0" applyFont="1" applyFill="1" applyBorder="1" applyAlignment="1">
      <alignment horizontal="left" vertical="center" wrapText="1"/>
    </xf>
    <xf numFmtId="0" fontId="21" fillId="9" borderId="20" xfId="0" applyFont="1" applyFill="1" applyBorder="1" applyAlignment="1">
      <alignment horizontal="left" vertical="center" wrapText="1"/>
    </xf>
    <xf numFmtId="0" fontId="24" fillId="9" borderId="20" xfId="0" applyFont="1" applyFill="1" applyBorder="1" applyAlignment="1">
      <alignment horizontal="left" vertical="center" wrapText="1"/>
    </xf>
    <xf numFmtId="0" fontId="25" fillId="9" borderId="20" xfId="0" applyFont="1" applyFill="1" applyBorder="1" applyAlignment="1">
      <alignment horizontal="left" vertical="center" wrapText="1"/>
    </xf>
    <xf numFmtId="0" fontId="21" fillId="0" borderId="27" xfId="0" applyFont="1" applyBorder="1" applyAlignment="1">
      <alignment horizontal="left" vertical="center" wrapText="1"/>
    </xf>
    <xf numFmtId="0" fontId="21" fillId="0" borderId="20" xfId="0" applyFont="1" applyBorder="1" applyAlignment="1">
      <alignment horizontal="left" vertical="center" wrapText="1"/>
    </xf>
    <xf numFmtId="0" fontId="16" fillId="0" borderId="0" xfId="1" applyFont="1" applyAlignment="1">
      <alignment horizontal="center" vertical="center" wrapText="1"/>
    </xf>
    <xf numFmtId="0" fontId="17" fillId="0" borderId="0" xfId="1" applyFont="1" applyAlignment="1">
      <alignment horizontal="center" vertical="top" wrapText="1"/>
    </xf>
    <xf numFmtId="0" fontId="20" fillId="7" borderId="6" xfId="1" applyFont="1" applyFill="1" applyBorder="1" applyAlignment="1">
      <alignment horizontal="center" vertical="center"/>
    </xf>
    <xf numFmtId="0" fontId="6" fillId="9" borderId="20" xfId="0" applyFont="1" applyFill="1" applyBorder="1" applyAlignment="1">
      <alignment horizontal="left" vertical="center" wrapText="1"/>
    </xf>
    <xf numFmtId="0" fontId="30" fillId="0" borderId="20" xfId="0" applyFont="1" applyBorder="1" applyAlignment="1">
      <alignment horizontal="left" vertical="center" wrapText="1"/>
    </xf>
    <xf numFmtId="0" fontId="22" fillId="9" borderId="28" xfId="0" applyFont="1" applyFill="1" applyBorder="1" applyAlignment="1">
      <alignment horizontal="left" vertical="center" wrapText="1"/>
    </xf>
    <xf numFmtId="0" fontId="21" fillId="9" borderId="28" xfId="0" applyFont="1" applyFill="1" applyBorder="1" applyAlignment="1">
      <alignment horizontal="left" vertical="center" wrapText="1"/>
    </xf>
    <xf numFmtId="0" fontId="6" fillId="0" borderId="20" xfId="0" applyFont="1" applyBorder="1" applyAlignment="1">
      <alignment horizontal="left" vertical="center" wrapText="1" indent="1"/>
    </xf>
    <xf numFmtId="0" fontId="6" fillId="9" borderId="27" xfId="0" applyFont="1" applyFill="1" applyBorder="1" applyAlignment="1">
      <alignment horizontal="left" vertical="center" wrapText="1" indent="1"/>
    </xf>
    <xf numFmtId="0" fontId="6" fillId="9" borderId="20" xfId="0" applyFont="1" applyFill="1" applyBorder="1" applyAlignment="1">
      <alignment horizontal="left" vertical="center" wrapText="1" indent="1"/>
    </xf>
    <xf numFmtId="0" fontId="5" fillId="0" borderId="20" xfId="0" applyFont="1" applyBorder="1" applyAlignment="1">
      <alignment horizontal="left" vertical="center" wrapText="1"/>
    </xf>
    <xf numFmtId="0" fontId="5" fillId="9" borderId="20" xfId="0" applyFont="1" applyFill="1" applyBorder="1" applyAlignment="1">
      <alignment horizontal="left" vertical="center" wrapText="1"/>
    </xf>
    <xf numFmtId="0" fontId="27" fillId="9" borderId="20" xfId="0" applyFont="1" applyFill="1" applyBorder="1" applyAlignment="1">
      <alignment horizontal="left" vertical="center" wrapText="1"/>
    </xf>
    <xf numFmtId="0" fontId="26" fillId="9" borderId="20" xfId="0" applyFont="1" applyFill="1" applyBorder="1" applyAlignment="1">
      <alignment horizontal="left" vertical="center" wrapText="1"/>
    </xf>
    <xf numFmtId="0" fontId="6" fillId="2" borderId="20" xfId="0" applyFont="1" applyFill="1" applyBorder="1" applyAlignment="1">
      <alignment horizontal="left" vertical="center" wrapText="1" indent="1"/>
    </xf>
    <xf numFmtId="0" fontId="27" fillId="0" borderId="20" xfId="0" applyFont="1" applyBorder="1" applyAlignment="1">
      <alignment horizontal="left" vertical="center" wrapText="1" indent="1"/>
    </xf>
    <xf numFmtId="0" fontId="26" fillId="0" borderId="20" xfId="0" applyFont="1" applyBorder="1" applyAlignment="1">
      <alignment horizontal="left" vertical="center" wrapText="1" indent="1"/>
    </xf>
    <xf numFmtId="0" fontId="27" fillId="0" borderId="27" xfId="0" applyFont="1" applyBorder="1" applyAlignment="1">
      <alignment horizontal="left" vertical="center" wrapText="1" indent="1"/>
    </xf>
    <xf numFmtId="0" fontId="26" fillId="0" borderId="27" xfId="0" applyFont="1" applyBorder="1" applyAlignment="1">
      <alignment horizontal="left" vertical="center" wrapText="1" indent="1"/>
    </xf>
    <xf numFmtId="0" fontId="5" fillId="9" borderId="27" xfId="0" applyFont="1" applyFill="1" applyBorder="1" applyAlignment="1">
      <alignment horizontal="left" vertical="center" wrapText="1"/>
    </xf>
    <xf numFmtId="3" fontId="20" fillId="7" borderId="15" xfId="1" applyNumberFormat="1" applyFont="1" applyFill="1" applyBorder="1" applyAlignment="1">
      <alignment horizontal="center" vertical="center" wrapText="1"/>
    </xf>
    <xf numFmtId="3" fontId="20" fillId="7" borderId="30" xfId="1" applyNumberFormat="1" applyFont="1" applyFill="1" applyBorder="1" applyAlignment="1">
      <alignment horizontal="center" vertical="center" wrapText="1"/>
    </xf>
    <xf numFmtId="0" fontId="17" fillId="10" borderId="6" xfId="1" applyFont="1" applyFill="1" applyBorder="1" applyAlignment="1">
      <alignment horizontal="left" vertical="center" wrapText="1"/>
    </xf>
    <xf numFmtId="0" fontId="17" fillId="10" borderId="10" xfId="1" applyFont="1" applyFill="1" applyBorder="1" applyAlignment="1">
      <alignment horizontal="left" vertical="center" wrapText="1"/>
    </xf>
    <xf numFmtId="0" fontId="18" fillId="0" borderId="0" xfId="1" applyAlignment="1">
      <alignment horizontal="right" vertical="top" wrapText="1"/>
    </xf>
    <xf numFmtId="0" fontId="5" fillId="7" borderId="1" xfId="1" applyFont="1" applyFill="1" applyBorder="1" applyAlignment="1">
      <alignment horizontal="center" vertical="center" wrapText="1"/>
    </xf>
    <xf numFmtId="0" fontId="5" fillId="7" borderId="2" xfId="1" applyFont="1" applyFill="1" applyBorder="1" applyAlignment="1">
      <alignment horizontal="center" vertical="center" wrapText="1"/>
    </xf>
    <xf numFmtId="0" fontId="5" fillId="7" borderId="3" xfId="1" applyFont="1" applyFill="1" applyBorder="1" applyAlignment="1">
      <alignment horizontal="center" vertical="center" wrapText="1"/>
    </xf>
    <xf numFmtId="0" fontId="5" fillId="7" borderId="4" xfId="1" applyFont="1" applyFill="1" applyBorder="1" applyAlignment="1">
      <alignment horizontal="center" vertical="center" wrapText="1"/>
    </xf>
    <xf numFmtId="0" fontId="5" fillId="7" borderId="0" xfId="1" applyFont="1" applyFill="1" applyAlignment="1">
      <alignment horizontal="center" vertical="center" wrapText="1"/>
    </xf>
    <xf numFmtId="0" fontId="5" fillId="7" borderId="5" xfId="1" applyFont="1" applyFill="1" applyBorder="1" applyAlignment="1">
      <alignment horizontal="center" vertical="center" wrapText="1"/>
    </xf>
    <xf numFmtId="0" fontId="26" fillId="8" borderId="17" xfId="0" applyFont="1" applyFill="1" applyBorder="1" applyAlignment="1">
      <alignment horizontal="left" vertical="center" wrapText="1"/>
    </xf>
    <xf numFmtId="0" fontId="26" fillId="8" borderId="18" xfId="0" applyFont="1" applyFill="1" applyBorder="1" applyAlignment="1">
      <alignment horizontal="left" vertical="center" wrapText="1"/>
    </xf>
    <xf numFmtId="0" fontId="5" fillId="8" borderId="17" xfId="0" applyFont="1" applyFill="1" applyBorder="1" applyAlignment="1">
      <alignment horizontal="left" vertical="center" wrapText="1"/>
    </xf>
    <xf numFmtId="0" fontId="5" fillId="8" borderId="18" xfId="0" applyFont="1" applyFill="1" applyBorder="1" applyAlignment="1">
      <alignment horizontal="left" vertical="center" wrapText="1"/>
    </xf>
    <xf numFmtId="0" fontId="20" fillId="7" borderId="31" xfId="1" applyFont="1" applyFill="1"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18" fillId="0" borderId="10" xfId="1" applyBorder="1" applyAlignment="1">
      <alignment horizontal="right" vertical="top" wrapText="1"/>
    </xf>
    <xf numFmtId="0" fontId="0" fillId="0" borderId="10" xfId="0" applyBorder="1" applyAlignment="1">
      <alignment horizontal="right"/>
    </xf>
    <xf numFmtId="0" fontId="17" fillId="10" borderId="12" xfId="1" applyFont="1" applyFill="1" applyBorder="1" applyAlignment="1">
      <alignment vertical="center" wrapText="1"/>
    </xf>
    <xf numFmtId="0" fontId="5" fillId="7" borderId="15" xfId="1"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9" borderId="21" xfId="0" applyFont="1" applyFill="1" applyBorder="1" applyAlignment="1">
      <alignment horizontal="left" vertical="center" wrapText="1"/>
    </xf>
    <xf numFmtId="0" fontId="5" fillId="9" borderId="22" xfId="0" applyFont="1" applyFill="1" applyBorder="1" applyAlignment="1">
      <alignment horizontal="left" vertical="center" wrapText="1"/>
    </xf>
    <xf numFmtId="0" fontId="5" fillId="9" borderId="23" xfId="0" applyFont="1" applyFill="1" applyBorder="1" applyAlignment="1">
      <alignment horizontal="left" vertical="center" wrapText="1"/>
    </xf>
    <xf numFmtId="0" fontId="26" fillId="11" borderId="1" xfId="0" applyFont="1" applyFill="1" applyBorder="1" applyAlignment="1">
      <alignment horizontal="left" vertical="center" shrinkToFit="1"/>
    </xf>
    <xf numFmtId="0" fontId="26" fillId="11" borderId="2" xfId="0" applyFont="1" applyFill="1" applyBorder="1" applyAlignment="1">
      <alignment horizontal="left" vertical="center" shrinkToFit="1"/>
    </xf>
    <xf numFmtId="0" fontId="26" fillId="11" borderId="3" xfId="0" applyFont="1" applyFill="1" applyBorder="1" applyAlignment="1">
      <alignment horizontal="left" vertical="center" shrinkToFit="1"/>
    </xf>
    <xf numFmtId="0" fontId="6" fillId="0" borderId="34" xfId="0" applyFont="1" applyBorder="1" applyAlignment="1">
      <alignment horizontal="left" vertical="center" wrapText="1" indent="1"/>
    </xf>
    <xf numFmtId="0" fontId="6" fillId="0" borderId="35" xfId="0" applyFont="1" applyBorder="1" applyAlignment="1">
      <alignment horizontal="left" vertical="center" wrapText="1" indent="1"/>
    </xf>
    <xf numFmtId="0" fontId="6" fillId="0" borderId="36" xfId="0" applyFont="1" applyBorder="1" applyAlignment="1">
      <alignment horizontal="left" vertical="center" wrapText="1" indent="1"/>
    </xf>
    <xf numFmtId="0" fontId="6" fillId="9" borderId="21" xfId="0" applyFont="1" applyFill="1" applyBorder="1" applyAlignment="1">
      <alignment horizontal="left" vertical="center" wrapText="1" indent="1"/>
    </xf>
    <xf numFmtId="0" fontId="6" fillId="9" borderId="22" xfId="0" applyFont="1" applyFill="1" applyBorder="1" applyAlignment="1">
      <alignment horizontal="left" vertical="center" wrapText="1" indent="1"/>
    </xf>
    <xf numFmtId="0" fontId="6" fillId="9" borderId="23" xfId="0" applyFont="1" applyFill="1" applyBorder="1" applyAlignment="1">
      <alignment horizontal="left" vertical="center" wrapText="1" indent="1"/>
    </xf>
    <xf numFmtId="0" fontId="30" fillId="0" borderId="21" xfId="0" applyFont="1" applyBorder="1" applyAlignment="1">
      <alignment horizontal="left" vertical="center" wrapText="1" indent="2"/>
    </xf>
    <xf numFmtId="0" fontId="30" fillId="0" borderId="22" xfId="0" applyFont="1" applyBorder="1" applyAlignment="1">
      <alignment horizontal="left" vertical="center" wrapText="1" indent="2"/>
    </xf>
    <xf numFmtId="0" fontId="30" fillId="0" borderId="23" xfId="0" applyFont="1" applyBorder="1" applyAlignment="1">
      <alignment horizontal="left" vertical="center" wrapText="1" indent="2"/>
    </xf>
    <xf numFmtId="0" fontId="6" fillId="0" borderId="21" xfId="0" applyFont="1" applyBorder="1" applyAlignment="1">
      <alignment horizontal="left" vertical="center" wrapText="1" indent="1"/>
    </xf>
    <xf numFmtId="0" fontId="6" fillId="0" borderId="22" xfId="0" applyFont="1" applyBorder="1" applyAlignment="1">
      <alignment horizontal="left" vertical="center" wrapText="1" indent="1"/>
    </xf>
    <xf numFmtId="0" fontId="6" fillId="0" borderId="23" xfId="0" applyFont="1" applyBorder="1" applyAlignment="1">
      <alignment horizontal="left" vertical="center" wrapText="1" indent="1"/>
    </xf>
    <xf numFmtId="0" fontId="26" fillId="9" borderId="24" xfId="0" applyFont="1" applyFill="1" applyBorder="1" applyAlignment="1">
      <alignment horizontal="left" vertical="center" wrapText="1"/>
    </xf>
    <xf numFmtId="0" fontId="26" fillId="9" borderId="25" xfId="0" applyFont="1" applyFill="1" applyBorder="1" applyAlignment="1">
      <alignment horizontal="left" vertical="center" wrapText="1"/>
    </xf>
    <xf numFmtId="0" fontId="26" fillId="9" borderId="26" xfId="0" applyFont="1" applyFill="1" applyBorder="1" applyAlignment="1">
      <alignment horizontal="left" vertical="center" wrapText="1"/>
    </xf>
    <xf numFmtId="0" fontId="26" fillId="9" borderId="21" xfId="0" applyFont="1" applyFill="1" applyBorder="1" applyAlignment="1">
      <alignment horizontal="left" vertical="center" wrapText="1"/>
    </xf>
    <xf numFmtId="0" fontId="26" fillId="9" borderId="22" xfId="0" applyFont="1" applyFill="1" applyBorder="1" applyAlignment="1">
      <alignment horizontal="left" vertical="center" wrapText="1"/>
    </xf>
    <xf numFmtId="0" fontId="26" fillId="9" borderId="23" xfId="0" applyFont="1" applyFill="1" applyBorder="1" applyAlignment="1">
      <alignment horizontal="left" vertical="center" wrapText="1"/>
    </xf>
    <xf numFmtId="0" fontId="26" fillId="0" borderId="21" xfId="0" applyFont="1" applyBorder="1" applyAlignment="1">
      <alignment horizontal="left"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18" fillId="0" borderId="10" xfId="0" applyFont="1" applyBorder="1" applyAlignment="1">
      <alignment horizontal="right"/>
    </xf>
    <xf numFmtId="0" fontId="17" fillId="6" borderId="12" xfId="1" applyFont="1" applyFill="1" applyBorder="1" applyAlignment="1">
      <alignment vertical="center" wrapText="1"/>
    </xf>
    <xf numFmtId="0" fontId="43" fillId="0" borderId="11" xfId="0" applyFont="1" applyBorder="1" applyAlignment="1">
      <alignment vertical="center" wrapText="1"/>
    </xf>
    <xf numFmtId="0" fontId="43" fillId="0" borderId="13" xfId="0" applyFont="1" applyBorder="1" applyAlignment="1">
      <alignment vertical="center" wrapText="1"/>
    </xf>
    <xf numFmtId="0" fontId="6" fillId="11" borderId="2" xfId="0" applyFont="1" applyFill="1" applyBorder="1" applyAlignment="1">
      <alignment horizontal="left" vertical="center" shrinkToFit="1"/>
    </xf>
    <xf numFmtId="0" fontId="6" fillId="11" borderId="3" xfId="0" applyFont="1" applyFill="1" applyBorder="1" applyAlignment="1">
      <alignment horizontal="left" vertical="center" shrinkToFit="1"/>
    </xf>
    <xf numFmtId="0" fontId="6" fillId="0" borderId="37" xfId="0" applyFont="1" applyBorder="1" applyAlignment="1">
      <alignment horizontal="left" vertical="center" wrapText="1" indent="1"/>
    </xf>
    <xf numFmtId="0" fontId="27" fillId="9" borderId="27" xfId="0" applyFont="1" applyFill="1" applyBorder="1" applyAlignment="1">
      <alignment horizontal="left" vertical="center" wrapText="1"/>
    </xf>
    <xf numFmtId="0" fontId="26" fillId="9" borderId="27" xfId="0" applyFont="1" applyFill="1" applyBorder="1" applyAlignment="1">
      <alignment horizontal="left" vertical="center" wrapText="1"/>
    </xf>
    <xf numFmtId="0" fontId="6" fillId="0" borderId="37" xfId="0" applyFont="1" applyBorder="1" applyAlignment="1">
      <alignment horizontal="left" vertical="center" wrapText="1"/>
    </xf>
    <xf numFmtId="0" fontId="27" fillId="0" borderId="20" xfId="0" applyFont="1" applyBorder="1" applyAlignment="1">
      <alignment horizontal="left" vertical="center" wrapText="1"/>
    </xf>
    <xf numFmtId="0" fontId="26" fillId="0" borderId="20" xfId="0" applyFont="1" applyBorder="1" applyAlignment="1">
      <alignment horizontal="left" vertical="center" wrapText="1"/>
    </xf>
    <xf numFmtId="0" fontId="27" fillId="0" borderId="27" xfId="0" applyFont="1" applyBorder="1" applyAlignment="1">
      <alignment horizontal="left" vertical="center" wrapText="1"/>
    </xf>
    <xf numFmtId="0" fontId="26" fillId="0" borderId="27" xfId="0" applyFont="1" applyBorder="1" applyAlignment="1">
      <alignment horizontal="left" vertical="center" wrapText="1"/>
    </xf>
    <xf numFmtId="0" fontId="16" fillId="0" borderId="0" xfId="2" applyFont="1" applyAlignment="1">
      <alignment horizontal="center" vertical="center" wrapText="1"/>
    </xf>
    <xf numFmtId="0" fontId="18" fillId="0" borderId="0" xfId="1" applyAlignment="1">
      <alignment horizontal="center" vertical="center" wrapText="1"/>
    </xf>
    <xf numFmtId="0" fontId="17" fillId="0" borderId="0" xfId="2" applyFont="1" applyAlignment="1">
      <alignment horizontal="center" vertical="center"/>
    </xf>
    <xf numFmtId="0" fontId="33" fillId="7" borderId="38" xfId="0" applyFont="1" applyFill="1" applyBorder="1" applyAlignment="1">
      <alignment horizontal="center" vertical="center" wrapText="1"/>
    </xf>
    <xf numFmtId="0" fontId="29" fillId="0" borderId="39"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33" fillId="7" borderId="39" xfId="0" applyFont="1" applyFill="1" applyBorder="1" applyAlignment="1">
      <alignment horizontal="center" vertical="center" wrapText="1"/>
    </xf>
    <xf numFmtId="0" fontId="29" fillId="0" borderId="42" xfId="0" applyFont="1" applyBorder="1"/>
    <xf numFmtId="3" fontId="33" fillId="7" borderId="39" xfId="0" applyNumberFormat="1" applyFont="1" applyFill="1" applyBorder="1" applyAlignment="1">
      <alignment horizontal="center" vertical="center" wrapText="1"/>
    </xf>
    <xf numFmtId="0" fontId="29" fillId="0" borderId="48" xfId="0" applyFont="1" applyBorder="1" applyAlignment="1">
      <alignment horizontal="left" vertical="center" wrapText="1"/>
    </xf>
    <xf numFmtId="3" fontId="33" fillId="7" borderId="40" xfId="0" applyNumberFormat="1" applyFont="1" applyFill="1" applyBorder="1" applyAlignment="1">
      <alignment horizontal="center" vertical="center" wrapText="1"/>
    </xf>
    <xf numFmtId="3" fontId="29" fillId="0" borderId="43" xfId="0" applyNumberFormat="1" applyFont="1" applyBorder="1"/>
    <xf numFmtId="49" fontId="33" fillId="7" borderId="44" xfId="0" applyNumberFormat="1" applyFont="1" applyFill="1" applyBorder="1" applyAlignment="1">
      <alignment horizontal="center" vertical="center" wrapText="1"/>
    </xf>
    <xf numFmtId="49" fontId="33" fillId="7" borderId="45" xfId="0" applyNumberFormat="1" applyFont="1" applyFill="1" applyBorder="1" applyAlignment="1">
      <alignment horizontal="center" vertical="center" wrapText="1"/>
    </xf>
    <xf numFmtId="0" fontId="36" fillId="12" borderId="47" xfId="0" applyFont="1" applyFill="1" applyBorder="1" applyAlignment="1">
      <alignment horizontal="left" vertical="center"/>
    </xf>
    <xf numFmtId="0" fontId="38" fillId="12" borderId="47" xfId="0" applyFont="1" applyFill="1" applyBorder="1" applyAlignment="1">
      <alignment vertical="center"/>
    </xf>
    <xf numFmtId="0" fontId="29" fillId="0" borderId="47" xfId="0" applyFont="1" applyBorder="1" applyAlignment="1">
      <alignment vertical="center"/>
    </xf>
    <xf numFmtId="0" fontId="20" fillId="0" borderId="48" xfId="0" applyFont="1" applyBorder="1" applyAlignment="1">
      <alignment horizontal="left" vertical="center" wrapText="1"/>
    </xf>
    <xf numFmtId="3" fontId="29" fillId="0" borderId="42" xfId="0" applyNumberFormat="1" applyFont="1" applyBorder="1"/>
    <xf numFmtId="0" fontId="20" fillId="9" borderId="48" xfId="0" applyFont="1" applyFill="1" applyBorder="1" applyAlignment="1">
      <alignment horizontal="left" vertical="center" wrapText="1"/>
    </xf>
    <xf numFmtId="0" fontId="20" fillId="9" borderId="49" xfId="0" applyFont="1" applyFill="1" applyBorder="1" applyAlignment="1">
      <alignment horizontal="left" vertical="center" wrapText="1"/>
    </xf>
    <xf numFmtId="0" fontId="36" fillId="12" borderId="50" xfId="0" applyFont="1" applyFill="1" applyBorder="1" applyAlignment="1">
      <alignment horizontal="left" vertical="center"/>
    </xf>
    <xf numFmtId="0" fontId="29" fillId="0" borderId="50" xfId="0" applyFont="1" applyBorder="1" applyAlignment="1">
      <alignment vertical="center"/>
    </xf>
    <xf numFmtId="0" fontId="37" fillId="9" borderId="48" xfId="0" applyFont="1" applyFill="1" applyBorder="1" applyAlignment="1">
      <alignment horizontal="left" vertical="center" wrapText="1"/>
    </xf>
    <xf numFmtId="0" fontId="36" fillId="9" borderId="48" xfId="0" applyFont="1" applyFill="1" applyBorder="1" applyAlignment="1">
      <alignment horizontal="left" vertical="center" wrapText="1"/>
    </xf>
    <xf numFmtId="0" fontId="37" fillId="9" borderId="49" xfId="0" applyFont="1" applyFill="1" applyBorder="1" applyAlignment="1">
      <alignment horizontal="left" vertical="center" wrapText="1"/>
    </xf>
    <xf numFmtId="0" fontId="36" fillId="9" borderId="49" xfId="0" applyFont="1" applyFill="1" applyBorder="1" applyAlignment="1">
      <alignment horizontal="left" vertical="center" wrapText="1"/>
    </xf>
    <xf numFmtId="0" fontId="29" fillId="0" borderId="50" xfId="0" applyFont="1" applyBorder="1"/>
    <xf numFmtId="0" fontId="0" fillId="0" borderId="0" xfId="0" applyAlignment="1">
      <alignment horizontal="left" vertical="top" wrapText="1"/>
    </xf>
    <xf numFmtId="14" fontId="5" fillId="3" borderId="6" xfId="3" applyNumberFormat="1" applyFont="1" applyFill="1" applyBorder="1" applyAlignment="1" applyProtection="1">
      <alignment horizontal="center" vertical="center"/>
      <protection locked="0"/>
    </xf>
    <xf numFmtId="14" fontId="5" fillId="3" borderId="7" xfId="3" applyNumberFormat="1" applyFont="1" applyFill="1" applyBorder="1" applyAlignment="1" applyProtection="1">
      <alignment horizontal="center" vertical="center"/>
      <protection locked="0"/>
    </xf>
    <xf numFmtId="1" fontId="5" fillId="3" borderId="51" xfId="3" applyNumberFormat="1" applyFont="1" applyFill="1" applyBorder="1" applyAlignment="1" applyProtection="1">
      <alignment horizontal="center" vertical="center"/>
      <protection locked="0"/>
    </xf>
    <xf numFmtId="0" fontId="5" fillId="3" borderId="51" xfId="3" applyFont="1" applyFill="1" applyBorder="1" applyAlignment="1" applyProtection="1">
      <alignment horizontal="center" vertical="center"/>
      <protection locked="0"/>
    </xf>
    <xf numFmtId="3" fontId="6" fillId="0" borderId="52" xfId="0" applyNumberFormat="1" applyFont="1" applyBorder="1" applyAlignment="1" applyProtection="1">
      <alignment horizontal="right" vertical="center" shrinkToFit="1"/>
      <protection locked="0"/>
    </xf>
    <xf numFmtId="3" fontId="44" fillId="9" borderId="52" xfId="0" applyNumberFormat="1" applyFont="1" applyFill="1" applyBorder="1" applyAlignment="1">
      <alignment horizontal="right" vertical="center" shrinkToFit="1"/>
    </xf>
    <xf numFmtId="3" fontId="6" fillId="9" borderId="52" xfId="0" applyNumberFormat="1" applyFont="1" applyFill="1" applyBorder="1" applyAlignment="1">
      <alignment horizontal="right" vertical="center" shrinkToFit="1"/>
    </xf>
    <xf numFmtId="3" fontId="6" fillId="2" borderId="52" xfId="0" applyNumberFormat="1" applyFont="1" applyFill="1" applyBorder="1" applyAlignment="1" applyProtection="1">
      <alignment horizontal="right" vertical="center" shrinkToFit="1"/>
      <protection locked="0"/>
    </xf>
    <xf numFmtId="3" fontId="24" fillId="15" borderId="52" xfId="6" applyNumberFormat="1" applyFont="1" applyFill="1" applyBorder="1" applyAlignment="1">
      <alignment horizontal="right" vertical="center" shrinkToFit="1"/>
    </xf>
    <xf numFmtId="3" fontId="6" fillId="0" borderId="52" xfId="6" applyNumberFormat="1" applyFont="1" applyBorder="1" applyAlignment="1" applyProtection="1">
      <alignment horizontal="right" vertical="center" shrinkToFit="1"/>
      <protection locked="0"/>
    </xf>
    <xf numFmtId="3" fontId="24" fillId="15" borderId="52" xfId="6" applyNumberFormat="1" applyFont="1" applyFill="1" applyBorder="1" applyAlignment="1" applyProtection="1">
      <alignment horizontal="right" vertical="center" shrinkToFit="1"/>
      <protection locked="0"/>
    </xf>
    <xf numFmtId="3" fontId="24" fillId="15" borderId="52" xfId="6" applyNumberFormat="1" applyFont="1" applyFill="1" applyBorder="1" applyAlignment="1">
      <alignment vertical="center"/>
    </xf>
    <xf numFmtId="3" fontId="6" fillId="0" borderId="52" xfId="6" applyNumberFormat="1" applyFont="1" applyBorder="1" applyAlignment="1" applyProtection="1">
      <alignment vertical="center"/>
      <protection locked="0"/>
    </xf>
    <xf numFmtId="3" fontId="6" fillId="9" borderId="52" xfId="0" applyNumberFormat="1" applyFont="1" applyFill="1" applyBorder="1" applyAlignment="1">
      <alignment vertical="center"/>
    </xf>
    <xf numFmtId="3" fontId="6" fillId="0" borderId="37" xfId="0" applyNumberFormat="1" applyFont="1" applyBorder="1" applyAlignment="1" applyProtection="1">
      <alignment vertical="center"/>
      <protection locked="0"/>
    </xf>
    <xf numFmtId="3" fontId="6" fillId="0" borderId="20" xfId="0" applyNumberFormat="1" applyFont="1" applyBorder="1" applyAlignment="1" applyProtection="1">
      <alignment vertical="center"/>
      <protection locked="0"/>
    </xf>
    <xf numFmtId="3" fontId="6" fillId="9" borderId="20" xfId="0" applyNumberFormat="1" applyFont="1" applyFill="1" applyBorder="1" applyAlignment="1" applyProtection="1">
      <alignment vertical="center"/>
      <protection locked="0"/>
    </xf>
    <xf numFmtId="3" fontId="24" fillId="15" borderId="27" xfId="0" applyNumberFormat="1" applyFont="1" applyFill="1" applyBorder="1" applyAlignment="1">
      <alignment vertical="center"/>
    </xf>
    <xf numFmtId="3" fontId="39" fillId="0" borderId="49" xfId="0" applyNumberFormat="1" applyFont="1" applyBorder="1" applyAlignment="1">
      <alignment vertical="center" shrinkToFit="1"/>
    </xf>
  </cellXfs>
  <cellStyles count="7">
    <cellStyle name="Comma" xfId="5" builtinId="3"/>
    <cellStyle name="Hyperlink" xfId="4" builtinId="8"/>
    <cellStyle name="Normal" xfId="0" builtinId="0"/>
    <cellStyle name="Normal 2" xfId="1" xr:uid="{00000000-0005-0000-0000-000003000000}"/>
    <cellStyle name="Normal 2 2" xfId="6" xr:uid="{0C8F8CA6-C08A-4465-B119-654EA4F3069F}"/>
    <cellStyle name="Normal 3" xfId="3" xr:uid="{00000000-0005-0000-0000-000004000000}"/>
    <cellStyle name="Style 1" xfId="2" xr:uid="{00000000-0005-0000-0000-000005000000}"/>
  </cellStyles>
  <dxfs count="14">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vana.mikulek@mi-racunovoda.hr" TargetMode="External"/><Relationship Id="rId2" Type="http://schemas.openxmlformats.org/officeDocument/2006/relationships/hyperlink" Target="http://www.monperin.hr/" TargetMode="External"/><Relationship Id="rId1" Type="http://schemas.openxmlformats.org/officeDocument/2006/relationships/hyperlink" Target="mailto:massimo.piutti@monperin.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2"/>
  <sheetViews>
    <sheetView view="pageBreakPreview" zoomScale="80" zoomScaleNormal="100" zoomScaleSheetLayoutView="80" workbookViewId="0">
      <selection activeCell="E46" sqref="E46:I46"/>
    </sheetView>
  </sheetViews>
  <sheetFormatPr defaultRowHeight="14" x14ac:dyDescent="0.3"/>
  <cols>
    <col min="2" max="2" width="10.3984375" customWidth="1"/>
    <col min="9" max="9" width="12.796875" customWidth="1"/>
  </cols>
  <sheetData>
    <row r="1" spans="1:10" ht="15.05" x14ac:dyDescent="0.3">
      <c r="A1" s="110"/>
      <c r="B1" s="111"/>
      <c r="C1" s="111"/>
      <c r="D1" s="53"/>
      <c r="E1" s="53"/>
      <c r="F1" s="53"/>
      <c r="G1" s="53"/>
      <c r="H1" s="53"/>
      <c r="I1" s="53"/>
      <c r="J1" s="54"/>
    </row>
    <row r="2" spans="1:10" x14ac:dyDescent="0.3">
      <c r="A2" s="112" t="s">
        <v>0</v>
      </c>
      <c r="B2" s="113"/>
      <c r="C2" s="113"/>
      <c r="D2" s="113"/>
      <c r="E2" s="113"/>
      <c r="F2" s="113"/>
      <c r="G2" s="113"/>
      <c r="H2" s="113"/>
      <c r="I2" s="113"/>
      <c r="J2" s="114"/>
    </row>
    <row r="3" spans="1:10" x14ac:dyDescent="0.3">
      <c r="A3" s="55"/>
      <c r="B3" s="56"/>
      <c r="C3" s="56"/>
      <c r="D3" s="56"/>
      <c r="E3" s="56"/>
      <c r="F3" s="56"/>
      <c r="G3" s="56"/>
      <c r="H3" s="56"/>
      <c r="I3" s="56"/>
      <c r="J3" s="57"/>
    </row>
    <row r="4" spans="1:10" x14ac:dyDescent="0.3">
      <c r="A4" s="115" t="s">
        <v>1</v>
      </c>
      <c r="B4" s="116"/>
      <c r="C4" s="116"/>
      <c r="D4" s="116"/>
      <c r="E4" s="117">
        <v>44562</v>
      </c>
      <c r="F4" s="118"/>
      <c r="G4" s="58" t="s">
        <v>2</v>
      </c>
      <c r="H4" s="342">
        <v>44926</v>
      </c>
      <c r="I4" s="343"/>
      <c r="J4" s="59"/>
    </row>
    <row r="5" spans="1:10" x14ac:dyDescent="0.3">
      <c r="A5" s="119"/>
      <c r="B5" s="120"/>
      <c r="C5" s="120"/>
      <c r="D5" s="120"/>
      <c r="E5" s="120"/>
      <c r="F5" s="120"/>
      <c r="G5" s="120"/>
      <c r="H5" s="120"/>
      <c r="I5" s="120"/>
      <c r="J5" s="121"/>
    </row>
    <row r="6" spans="1:10" x14ac:dyDescent="0.3">
      <c r="A6" s="60"/>
      <c r="B6" s="61" t="s">
        <v>3</v>
      </c>
      <c r="C6" s="62"/>
      <c r="D6" s="62"/>
      <c r="E6" s="63">
        <v>2022</v>
      </c>
      <c r="F6" s="64"/>
      <c r="G6" s="58"/>
      <c r="H6" s="64"/>
      <c r="I6" s="64"/>
      <c r="J6" s="65"/>
    </row>
    <row r="7" spans="1:10" x14ac:dyDescent="0.3">
      <c r="A7" s="60"/>
      <c r="B7" s="62"/>
      <c r="C7" s="62"/>
      <c r="D7" s="62"/>
      <c r="E7" s="66"/>
      <c r="F7" s="66"/>
      <c r="G7" s="58"/>
      <c r="H7" s="66"/>
      <c r="I7" s="66"/>
      <c r="J7" s="65"/>
    </row>
    <row r="8" spans="1:10" x14ac:dyDescent="0.3">
      <c r="A8" s="60"/>
      <c r="B8" s="61" t="s">
        <v>473</v>
      </c>
      <c r="C8" s="62"/>
      <c r="D8" s="62"/>
      <c r="E8" s="344">
        <v>4</v>
      </c>
      <c r="F8" s="66"/>
      <c r="G8" s="58"/>
      <c r="H8" s="66"/>
      <c r="I8" s="66"/>
      <c r="J8" s="65"/>
    </row>
    <row r="9" spans="1:10" x14ac:dyDescent="0.3">
      <c r="A9" s="60"/>
      <c r="B9" s="62"/>
      <c r="C9" s="62"/>
      <c r="D9" s="62"/>
      <c r="E9" s="66"/>
      <c r="F9" s="66"/>
      <c r="G9" s="58"/>
      <c r="H9" s="66"/>
      <c r="I9" s="66"/>
      <c r="J9" s="65"/>
    </row>
    <row r="10" spans="1:10" ht="15.05" x14ac:dyDescent="0.3">
      <c r="A10" s="126" t="s">
        <v>472</v>
      </c>
      <c r="B10" s="127"/>
      <c r="C10" s="127"/>
      <c r="D10" s="127"/>
      <c r="E10" s="127"/>
      <c r="F10" s="127"/>
      <c r="G10" s="127"/>
      <c r="H10" s="127"/>
      <c r="I10" s="127"/>
      <c r="J10" s="67"/>
    </row>
    <row r="11" spans="1:10" x14ac:dyDescent="0.3">
      <c r="A11" s="68"/>
      <c r="B11" s="69"/>
      <c r="C11" s="69"/>
      <c r="D11" s="69"/>
      <c r="E11" s="128"/>
      <c r="F11" s="128"/>
      <c r="G11" s="129"/>
      <c r="H11" s="129"/>
      <c r="I11" s="70"/>
      <c r="J11" s="71"/>
    </row>
    <row r="12" spans="1:10" ht="20.45" customHeight="1" x14ac:dyDescent="0.3">
      <c r="A12" s="130" t="s">
        <v>4</v>
      </c>
      <c r="B12" s="124"/>
      <c r="C12" s="173" t="s">
        <v>442</v>
      </c>
      <c r="D12" s="174"/>
      <c r="E12" s="72"/>
      <c r="F12" s="131" t="s">
        <v>5</v>
      </c>
      <c r="G12" s="132"/>
      <c r="H12" s="133" t="s">
        <v>6</v>
      </c>
      <c r="I12" s="134"/>
      <c r="J12" s="73"/>
    </row>
    <row r="13" spans="1:10" x14ac:dyDescent="0.3">
      <c r="A13" s="68"/>
      <c r="B13" s="69"/>
      <c r="C13" s="74"/>
      <c r="D13" s="74"/>
      <c r="E13" s="122"/>
      <c r="F13" s="122"/>
      <c r="G13" s="122"/>
      <c r="H13" s="122"/>
      <c r="I13" s="75"/>
      <c r="J13" s="73"/>
    </row>
    <row r="14" spans="1:10" ht="20.45" customHeight="1" x14ac:dyDescent="0.3">
      <c r="A14" s="123" t="s">
        <v>7</v>
      </c>
      <c r="B14" s="124"/>
      <c r="C14" s="173" t="s">
        <v>443</v>
      </c>
      <c r="D14" s="174"/>
      <c r="E14" s="125"/>
      <c r="F14" s="122"/>
      <c r="G14" s="122"/>
      <c r="H14" s="122"/>
      <c r="I14" s="75"/>
      <c r="J14" s="73"/>
    </row>
    <row r="15" spans="1:10" x14ac:dyDescent="0.3">
      <c r="A15" s="72"/>
      <c r="B15" s="75"/>
      <c r="C15" s="74"/>
      <c r="D15" s="74"/>
      <c r="E15" s="129"/>
      <c r="F15" s="129"/>
      <c r="G15" s="129"/>
      <c r="H15" s="129"/>
      <c r="I15" s="69"/>
      <c r="J15" s="76"/>
    </row>
    <row r="16" spans="1:10" ht="21.4" customHeight="1" x14ac:dyDescent="0.3">
      <c r="A16" s="123" t="s">
        <v>8</v>
      </c>
      <c r="B16" s="132"/>
      <c r="C16" s="173" t="s">
        <v>444</v>
      </c>
      <c r="D16" s="174"/>
      <c r="E16" s="138"/>
      <c r="F16" s="139"/>
      <c r="G16" s="77" t="s">
        <v>9</v>
      </c>
      <c r="H16" s="133" t="s">
        <v>482</v>
      </c>
      <c r="I16" s="134"/>
      <c r="J16" s="78"/>
    </row>
    <row r="17" spans="1:10" x14ac:dyDescent="0.3">
      <c r="A17" s="72"/>
      <c r="B17" s="75"/>
      <c r="C17" s="74"/>
      <c r="D17" s="74"/>
      <c r="E17" s="129"/>
      <c r="F17" s="129"/>
      <c r="G17" s="129"/>
      <c r="H17" s="129"/>
      <c r="I17" s="69"/>
      <c r="J17" s="76"/>
    </row>
    <row r="18" spans="1:10" x14ac:dyDescent="0.3">
      <c r="A18" s="123" t="s">
        <v>10</v>
      </c>
      <c r="B18" s="132"/>
      <c r="C18" s="173"/>
      <c r="D18" s="174"/>
      <c r="E18" s="79"/>
      <c r="F18" s="79"/>
      <c r="G18" s="79"/>
      <c r="H18" s="79"/>
      <c r="I18" s="79"/>
      <c r="J18" s="78"/>
    </row>
    <row r="19" spans="1:10" x14ac:dyDescent="0.3">
      <c r="A19" s="135"/>
      <c r="B19" s="136"/>
      <c r="C19" s="136"/>
      <c r="D19" s="136"/>
      <c r="E19" s="136"/>
      <c r="F19" s="136"/>
      <c r="G19" s="136"/>
      <c r="H19" s="136"/>
      <c r="I19" s="136"/>
      <c r="J19" s="137"/>
    </row>
    <row r="20" spans="1:10" x14ac:dyDescent="0.3">
      <c r="A20" s="130" t="s">
        <v>11</v>
      </c>
      <c r="B20" s="124"/>
      <c r="C20" s="140" t="s">
        <v>484</v>
      </c>
      <c r="D20" s="141"/>
      <c r="E20" s="141"/>
      <c r="F20" s="141"/>
      <c r="G20" s="141"/>
      <c r="H20" s="141"/>
      <c r="I20" s="141"/>
      <c r="J20" s="142"/>
    </row>
    <row r="21" spans="1:10" x14ac:dyDescent="0.3">
      <c r="A21" s="68"/>
      <c r="B21" s="69"/>
      <c r="C21" s="80"/>
      <c r="D21" s="74"/>
      <c r="E21" s="143"/>
      <c r="F21" s="143"/>
      <c r="G21" s="143"/>
      <c r="H21" s="143"/>
      <c r="I21" s="74"/>
      <c r="J21" s="81"/>
    </row>
    <row r="22" spans="1:10" x14ac:dyDescent="0.3">
      <c r="A22" s="130" t="s">
        <v>12</v>
      </c>
      <c r="B22" s="124"/>
      <c r="C22" s="144">
        <v>52211</v>
      </c>
      <c r="D22" s="145"/>
      <c r="E22" s="143"/>
      <c r="F22" s="143"/>
      <c r="G22" s="140" t="s">
        <v>445</v>
      </c>
      <c r="H22" s="141"/>
      <c r="I22" s="141"/>
      <c r="J22" s="142"/>
    </row>
    <row r="23" spans="1:10" x14ac:dyDescent="0.3">
      <c r="A23" s="68"/>
      <c r="B23" s="69"/>
      <c r="C23" s="74"/>
      <c r="D23" s="74"/>
      <c r="E23" s="143"/>
      <c r="F23" s="143"/>
      <c r="G23" s="143"/>
      <c r="H23" s="143"/>
      <c r="I23" s="74"/>
      <c r="J23" s="81"/>
    </row>
    <row r="24" spans="1:10" x14ac:dyDescent="0.3">
      <c r="A24" s="130" t="s">
        <v>13</v>
      </c>
      <c r="B24" s="124"/>
      <c r="C24" s="140" t="s">
        <v>446</v>
      </c>
      <c r="D24" s="141"/>
      <c r="E24" s="141"/>
      <c r="F24" s="141"/>
      <c r="G24" s="141"/>
      <c r="H24" s="141"/>
      <c r="I24" s="141"/>
      <c r="J24" s="142"/>
    </row>
    <row r="25" spans="1:10" x14ac:dyDescent="0.3">
      <c r="A25" s="68"/>
      <c r="B25" s="69"/>
      <c r="C25" s="74"/>
      <c r="D25" s="74"/>
      <c r="E25" s="143"/>
      <c r="F25" s="143"/>
      <c r="G25" s="143"/>
      <c r="H25" s="143"/>
      <c r="I25" s="74"/>
      <c r="J25" s="81"/>
    </row>
    <row r="26" spans="1:10" x14ac:dyDescent="0.3">
      <c r="A26" s="130" t="s">
        <v>14</v>
      </c>
      <c r="B26" s="124"/>
      <c r="C26" s="167" t="s">
        <v>447</v>
      </c>
      <c r="D26" s="168"/>
      <c r="E26" s="168"/>
      <c r="F26" s="168"/>
      <c r="G26" s="168"/>
      <c r="H26" s="168"/>
      <c r="I26" s="168"/>
      <c r="J26" s="169"/>
    </row>
    <row r="27" spans="1:10" x14ac:dyDescent="0.3">
      <c r="A27" s="68"/>
      <c r="B27" s="69"/>
      <c r="C27" s="80"/>
      <c r="D27" s="74"/>
      <c r="E27" s="143"/>
      <c r="F27" s="143"/>
      <c r="G27" s="143"/>
      <c r="H27" s="143"/>
      <c r="I27" s="74"/>
      <c r="J27" s="81"/>
    </row>
    <row r="28" spans="1:10" x14ac:dyDescent="0.3">
      <c r="A28" s="130" t="s">
        <v>15</v>
      </c>
      <c r="B28" s="124"/>
      <c r="C28" s="167" t="s">
        <v>448</v>
      </c>
      <c r="D28" s="168"/>
      <c r="E28" s="168"/>
      <c r="F28" s="168"/>
      <c r="G28" s="168"/>
      <c r="H28" s="168"/>
      <c r="I28" s="168"/>
      <c r="J28" s="169"/>
    </row>
    <row r="29" spans="1:10" x14ac:dyDescent="0.3">
      <c r="A29" s="68"/>
      <c r="B29" s="69"/>
      <c r="C29" s="82"/>
      <c r="D29" s="69"/>
      <c r="E29" s="177"/>
      <c r="F29" s="177"/>
      <c r="G29" s="177"/>
      <c r="H29" s="177"/>
      <c r="I29" s="69"/>
      <c r="J29" s="76"/>
    </row>
    <row r="30" spans="1:10" ht="22.85" customHeight="1" x14ac:dyDescent="0.3">
      <c r="A30" s="123" t="s">
        <v>16</v>
      </c>
      <c r="B30" s="124"/>
      <c r="C30" s="345">
        <v>45</v>
      </c>
      <c r="D30" s="84"/>
      <c r="E30" s="162"/>
      <c r="F30" s="162"/>
      <c r="G30" s="162"/>
      <c r="H30" s="162"/>
      <c r="I30" s="178"/>
      <c r="J30" s="179"/>
    </row>
    <row r="31" spans="1:10" x14ac:dyDescent="0.3">
      <c r="A31" s="68"/>
      <c r="B31" s="69"/>
      <c r="C31" s="74"/>
      <c r="D31" s="69"/>
      <c r="E31" s="129"/>
      <c r="F31" s="129"/>
      <c r="G31" s="129"/>
      <c r="H31" s="129"/>
      <c r="I31" s="69"/>
      <c r="J31" s="76"/>
    </row>
    <row r="32" spans="1:10" x14ac:dyDescent="0.3">
      <c r="A32" s="130" t="s">
        <v>17</v>
      </c>
      <c r="B32" s="124"/>
      <c r="C32" s="85" t="s">
        <v>465</v>
      </c>
      <c r="D32" s="171" t="s">
        <v>18</v>
      </c>
      <c r="E32" s="159"/>
      <c r="F32" s="159"/>
      <c r="G32" s="159"/>
      <c r="H32" s="86" t="s">
        <v>19</v>
      </c>
      <c r="I32" s="87" t="s">
        <v>20</v>
      </c>
      <c r="J32" s="88"/>
    </row>
    <row r="33" spans="1:10" x14ac:dyDescent="0.3">
      <c r="A33" s="130"/>
      <c r="B33" s="124"/>
      <c r="C33" s="89"/>
      <c r="D33" s="58"/>
      <c r="E33" s="139"/>
      <c r="F33" s="139"/>
      <c r="G33" s="139"/>
      <c r="H33" s="139"/>
      <c r="I33" s="175"/>
      <c r="J33" s="176"/>
    </row>
    <row r="34" spans="1:10" x14ac:dyDescent="0.3">
      <c r="A34" s="130" t="s">
        <v>21</v>
      </c>
      <c r="B34" s="124"/>
      <c r="C34" s="83" t="s">
        <v>457</v>
      </c>
      <c r="D34" s="171" t="s">
        <v>22</v>
      </c>
      <c r="E34" s="159"/>
      <c r="F34" s="159"/>
      <c r="G34" s="159"/>
      <c r="H34" s="90" t="s">
        <v>23</v>
      </c>
      <c r="I34" s="91" t="s">
        <v>24</v>
      </c>
      <c r="J34" s="92"/>
    </row>
    <row r="35" spans="1:10" x14ac:dyDescent="0.3">
      <c r="A35" s="68"/>
      <c r="B35" s="69"/>
      <c r="C35" s="69"/>
      <c r="D35" s="69"/>
      <c r="E35" s="129"/>
      <c r="F35" s="129"/>
      <c r="G35" s="129"/>
      <c r="H35" s="129"/>
      <c r="I35" s="69"/>
      <c r="J35" s="76"/>
    </row>
    <row r="36" spans="1:10" x14ac:dyDescent="0.3">
      <c r="A36" s="171" t="s">
        <v>25</v>
      </c>
      <c r="B36" s="159"/>
      <c r="C36" s="159"/>
      <c r="D36" s="159"/>
      <c r="E36" s="159" t="s">
        <v>26</v>
      </c>
      <c r="F36" s="159"/>
      <c r="G36" s="159"/>
      <c r="H36" s="159"/>
      <c r="I36" s="159"/>
      <c r="J36" s="93" t="s">
        <v>27</v>
      </c>
    </row>
    <row r="37" spans="1:10" x14ac:dyDescent="0.3">
      <c r="A37" s="68"/>
      <c r="B37" s="69"/>
      <c r="C37" s="69"/>
      <c r="D37" s="69"/>
      <c r="E37" s="129"/>
      <c r="F37" s="129"/>
      <c r="G37" s="129"/>
      <c r="H37" s="129"/>
      <c r="I37" s="69"/>
      <c r="J37" s="71"/>
    </row>
    <row r="38" spans="1:10" x14ac:dyDescent="0.3">
      <c r="A38" s="163" t="s">
        <v>466</v>
      </c>
      <c r="B38" s="164"/>
      <c r="C38" s="164"/>
      <c r="D38" s="164"/>
      <c r="E38" s="163" t="s">
        <v>445</v>
      </c>
      <c r="F38" s="164"/>
      <c r="G38" s="164"/>
      <c r="H38" s="164"/>
      <c r="I38" s="165"/>
      <c r="J38" s="103" t="s">
        <v>467</v>
      </c>
    </row>
    <row r="39" spans="1:10" x14ac:dyDescent="0.3">
      <c r="A39" s="104"/>
      <c r="B39" s="74"/>
      <c r="C39" s="80"/>
      <c r="D39" s="170"/>
      <c r="E39" s="170"/>
      <c r="F39" s="170"/>
      <c r="G39" s="170"/>
      <c r="H39" s="170"/>
      <c r="I39" s="170"/>
      <c r="J39" s="81"/>
    </row>
    <row r="40" spans="1:10" x14ac:dyDescent="0.3">
      <c r="A40" s="163" t="s">
        <v>468</v>
      </c>
      <c r="B40" s="164"/>
      <c r="C40" s="164"/>
      <c r="D40" s="165"/>
      <c r="E40" s="163" t="s">
        <v>445</v>
      </c>
      <c r="F40" s="164"/>
      <c r="G40" s="164"/>
      <c r="H40" s="164"/>
      <c r="I40" s="165"/>
      <c r="J40" s="106" t="s">
        <v>469</v>
      </c>
    </row>
    <row r="41" spans="1:10" x14ac:dyDescent="0.3">
      <c r="A41" s="104"/>
      <c r="B41" s="74"/>
      <c r="C41" s="80"/>
      <c r="D41" s="105"/>
      <c r="E41" s="170"/>
      <c r="F41" s="170"/>
      <c r="G41" s="170"/>
      <c r="H41" s="170"/>
      <c r="I41" s="107"/>
      <c r="J41" s="81"/>
    </row>
    <row r="42" spans="1:10" x14ac:dyDescent="0.3">
      <c r="A42" s="163" t="s">
        <v>470</v>
      </c>
      <c r="B42" s="164"/>
      <c r="C42" s="164"/>
      <c r="D42" s="165"/>
      <c r="E42" s="163" t="s">
        <v>445</v>
      </c>
      <c r="F42" s="164"/>
      <c r="G42" s="164"/>
      <c r="H42" s="164"/>
      <c r="I42" s="165"/>
      <c r="J42" s="106" t="s">
        <v>471</v>
      </c>
    </row>
    <row r="43" spans="1:10" x14ac:dyDescent="0.3">
      <c r="A43" s="68"/>
      <c r="B43" s="69"/>
      <c r="C43" s="82"/>
      <c r="D43" s="95"/>
      <c r="E43" s="166"/>
      <c r="F43" s="166"/>
      <c r="G43" s="166"/>
      <c r="H43" s="166"/>
      <c r="I43" s="75"/>
      <c r="J43" s="76"/>
    </row>
    <row r="44" spans="1:10" x14ac:dyDescent="0.3">
      <c r="A44" s="152"/>
      <c r="B44" s="153"/>
      <c r="C44" s="153"/>
      <c r="D44" s="154"/>
      <c r="E44" s="152"/>
      <c r="F44" s="153"/>
      <c r="G44" s="153"/>
      <c r="H44" s="153"/>
      <c r="I44" s="154"/>
      <c r="J44" s="94"/>
    </row>
    <row r="45" spans="1:10" x14ac:dyDescent="0.3">
      <c r="A45" s="96"/>
      <c r="B45" s="82"/>
      <c r="C45" s="149"/>
      <c r="D45" s="149"/>
      <c r="E45" s="129"/>
      <c r="F45" s="129"/>
      <c r="G45" s="149"/>
      <c r="H45" s="149"/>
      <c r="I45" s="149"/>
      <c r="J45" s="76"/>
    </row>
    <row r="46" spans="1:10" x14ac:dyDescent="0.3">
      <c r="A46" s="152"/>
      <c r="B46" s="153"/>
      <c r="C46" s="153"/>
      <c r="D46" s="154"/>
      <c r="E46" s="152"/>
      <c r="F46" s="153"/>
      <c r="G46" s="153"/>
      <c r="H46" s="153"/>
      <c r="I46" s="154"/>
      <c r="J46" s="94"/>
    </row>
    <row r="47" spans="1:10" x14ac:dyDescent="0.3">
      <c r="A47" s="96"/>
      <c r="B47" s="82"/>
      <c r="C47" s="82"/>
      <c r="D47" s="69"/>
      <c r="E47" s="129"/>
      <c r="F47" s="129"/>
      <c r="G47" s="149"/>
      <c r="H47" s="149"/>
      <c r="I47" s="69"/>
      <c r="J47" s="76"/>
    </row>
    <row r="48" spans="1:10" x14ac:dyDescent="0.3">
      <c r="A48" s="152"/>
      <c r="B48" s="153"/>
      <c r="C48" s="153"/>
      <c r="D48" s="154"/>
      <c r="E48" s="152"/>
      <c r="F48" s="153"/>
      <c r="G48" s="153"/>
      <c r="H48" s="153"/>
      <c r="I48" s="154"/>
      <c r="J48" s="94"/>
    </row>
    <row r="49" spans="1:10" x14ac:dyDescent="0.3">
      <c r="A49" s="96"/>
      <c r="B49" s="82"/>
      <c r="C49" s="82"/>
      <c r="D49" s="69"/>
      <c r="E49" s="129"/>
      <c r="F49" s="129"/>
      <c r="G49" s="149"/>
      <c r="H49" s="149"/>
      <c r="I49" s="69"/>
      <c r="J49" s="97" t="s">
        <v>28</v>
      </c>
    </row>
    <row r="50" spans="1:10" x14ac:dyDescent="0.3">
      <c r="A50" s="96"/>
      <c r="B50" s="82"/>
      <c r="C50" s="82"/>
      <c r="D50" s="69"/>
      <c r="E50" s="129"/>
      <c r="F50" s="129"/>
      <c r="G50" s="149"/>
      <c r="H50" s="149"/>
      <c r="I50" s="69"/>
      <c r="J50" s="97" t="s">
        <v>29</v>
      </c>
    </row>
    <row r="51" spans="1:10" x14ac:dyDescent="0.3">
      <c r="A51" s="123" t="s">
        <v>30</v>
      </c>
      <c r="B51" s="131"/>
      <c r="C51" s="133" t="s">
        <v>449</v>
      </c>
      <c r="D51" s="134"/>
      <c r="E51" s="150" t="s">
        <v>31</v>
      </c>
      <c r="F51" s="151"/>
      <c r="G51" s="140" t="s">
        <v>450</v>
      </c>
      <c r="H51" s="141"/>
      <c r="I51" s="141"/>
      <c r="J51" s="142"/>
    </row>
    <row r="52" spans="1:10" x14ac:dyDescent="0.3">
      <c r="A52" s="96"/>
      <c r="B52" s="82"/>
      <c r="C52" s="149"/>
      <c r="D52" s="149"/>
      <c r="E52" s="129"/>
      <c r="F52" s="129"/>
      <c r="G52" s="161" t="s">
        <v>32</v>
      </c>
      <c r="H52" s="161"/>
      <c r="I52" s="161"/>
      <c r="J52" s="65"/>
    </row>
    <row r="53" spans="1:10" x14ac:dyDescent="0.3">
      <c r="A53" s="123" t="s">
        <v>33</v>
      </c>
      <c r="B53" s="131"/>
      <c r="C53" s="140" t="s">
        <v>451</v>
      </c>
      <c r="D53" s="141"/>
      <c r="E53" s="141"/>
      <c r="F53" s="141"/>
      <c r="G53" s="141"/>
      <c r="H53" s="141"/>
      <c r="I53" s="141"/>
      <c r="J53" s="142"/>
    </row>
    <row r="54" spans="1:10" x14ac:dyDescent="0.3">
      <c r="A54" s="68"/>
      <c r="B54" s="69"/>
      <c r="C54" s="162" t="s">
        <v>34</v>
      </c>
      <c r="D54" s="162"/>
      <c r="E54" s="162"/>
      <c r="F54" s="162"/>
      <c r="G54" s="162"/>
      <c r="H54" s="162"/>
      <c r="I54" s="162"/>
      <c r="J54" s="76"/>
    </row>
    <row r="55" spans="1:10" x14ac:dyDescent="0.3">
      <c r="A55" s="123" t="s">
        <v>35</v>
      </c>
      <c r="B55" s="131"/>
      <c r="C55" s="155" t="s">
        <v>452</v>
      </c>
      <c r="D55" s="156"/>
      <c r="E55" s="157"/>
      <c r="F55" s="129"/>
      <c r="G55" s="129"/>
      <c r="H55" s="159"/>
      <c r="I55" s="159"/>
      <c r="J55" s="160"/>
    </row>
    <row r="56" spans="1:10" x14ac:dyDescent="0.3">
      <c r="A56" s="68"/>
      <c r="B56" s="69"/>
      <c r="C56" s="82"/>
      <c r="D56" s="69"/>
      <c r="E56" s="129"/>
      <c r="F56" s="129"/>
      <c r="G56" s="129"/>
      <c r="H56" s="129"/>
      <c r="I56" s="69"/>
      <c r="J56" s="76"/>
    </row>
    <row r="57" spans="1:10" x14ac:dyDescent="0.3">
      <c r="A57" s="123" t="s">
        <v>14</v>
      </c>
      <c r="B57" s="131"/>
      <c r="C57" s="158" t="s">
        <v>453</v>
      </c>
      <c r="D57" s="147"/>
      <c r="E57" s="147"/>
      <c r="F57" s="147"/>
      <c r="G57" s="147"/>
      <c r="H57" s="147"/>
      <c r="I57" s="147"/>
      <c r="J57" s="148"/>
    </row>
    <row r="58" spans="1:10" x14ac:dyDescent="0.3">
      <c r="A58" s="68"/>
      <c r="B58" s="69"/>
      <c r="C58" s="69"/>
      <c r="D58" s="69"/>
      <c r="E58" s="129"/>
      <c r="F58" s="129"/>
      <c r="G58" s="129"/>
      <c r="H58" s="129"/>
      <c r="I58" s="69"/>
      <c r="J58" s="76"/>
    </row>
    <row r="59" spans="1:10" x14ac:dyDescent="0.3">
      <c r="A59" s="123" t="s">
        <v>36</v>
      </c>
      <c r="B59" s="131"/>
      <c r="C59" s="146"/>
      <c r="D59" s="147"/>
      <c r="E59" s="147"/>
      <c r="F59" s="147"/>
      <c r="G59" s="147"/>
      <c r="H59" s="147"/>
      <c r="I59" s="147"/>
      <c r="J59" s="148"/>
    </row>
    <row r="60" spans="1:10" x14ac:dyDescent="0.3">
      <c r="A60" s="68"/>
      <c r="B60" s="69"/>
      <c r="C60" s="161" t="s">
        <v>37</v>
      </c>
      <c r="D60" s="161"/>
      <c r="E60" s="161"/>
      <c r="F60" s="161"/>
      <c r="G60" s="69"/>
      <c r="H60" s="69"/>
      <c r="I60" s="69"/>
      <c r="J60" s="76"/>
    </row>
    <row r="61" spans="1:10" x14ac:dyDescent="0.3">
      <c r="A61" s="123" t="s">
        <v>38</v>
      </c>
      <c r="B61" s="131"/>
      <c r="C61" s="146"/>
      <c r="D61" s="147"/>
      <c r="E61" s="147"/>
      <c r="F61" s="147"/>
      <c r="G61" s="147"/>
      <c r="H61" s="147"/>
      <c r="I61" s="147"/>
      <c r="J61" s="148"/>
    </row>
    <row r="62" spans="1:10" x14ac:dyDescent="0.3">
      <c r="A62" s="98"/>
      <c r="B62" s="99"/>
      <c r="C62" s="172" t="s">
        <v>39</v>
      </c>
      <c r="D62" s="172"/>
      <c r="E62" s="172"/>
      <c r="F62" s="172"/>
      <c r="G62" s="172"/>
      <c r="H62" s="99"/>
      <c r="I62" s="99"/>
      <c r="J62" s="100"/>
    </row>
  </sheetData>
  <mergeCells count="124">
    <mergeCell ref="C60:F60"/>
    <mergeCell ref="A61:B61"/>
    <mergeCell ref="C62:G62"/>
    <mergeCell ref="C18:D18"/>
    <mergeCell ref="C16:D16"/>
    <mergeCell ref="C14:D14"/>
    <mergeCell ref="C12:D12"/>
    <mergeCell ref="I33:J33"/>
    <mergeCell ref="D34:G34"/>
    <mergeCell ref="E31:F31"/>
    <mergeCell ref="G31:H31"/>
    <mergeCell ref="D32:G32"/>
    <mergeCell ref="E33:F33"/>
    <mergeCell ref="G33:H33"/>
    <mergeCell ref="E29:F29"/>
    <mergeCell ref="G29:H29"/>
    <mergeCell ref="E30:F30"/>
    <mergeCell ref="G30:H30"/>
    <mergeCell ref="I30:J30"/>
    <mergeCell ref="A57:B57"/>
    <mergeCell ref="E58:F58"/>
    <mergeCell ref="G58:H58"/>
    <mergeCell ref="A59:B59"/>
    <mergeCell ref="C26:J26"/>
    <mergeCell ref="E23:F23"/>
    <mergeCell ref="G23:H23"/>
    <mergeCell ref="C24:J24"/>
    <mergeCell ref="E25:F25"/>
    <mergeCell ref="G25:H25"/>
    <mergeCell ref="G51:J51"/>
    <mergeCell ref="E38:I38"/>
    <mergeCell ref="D39:I39"/>
    <mergeCell ref="A40:D40"/>
    <mergeCell ref="E40:I40"/>
    <mergeCell ref="A34:B34"/>
    <mergeCell ref="E35:F35"/>
    <mergeCell ref="G35:H35"/>
    <mergeCell ref="A36:D36"/>
    <mergeCell ref="E36:I36"/>
    <mergeCell ref="A32:B32"/>
    <mergeCell ref="A33:B33"/>
    <mergeCell ref="A30:B30"/>
    <mergeCell ref="A26:B26"/>
    <mergeCell ref="A28:B28"/>
    <mergeCell ref="A24:B24"/>
    <mergeCell ref="A53:B53"/>
    <mergeCell ref="C54:I54"/>
    <mergeCell ref="E42:I42"/>
    <mergeCell ref="E43:F43"/>
    <mergeCell ref="G43:H43"/>
    <mergeCell ref="E37:F37"/>
    <mergeCell ref="G37:H37"/>
    <mergeCell ref="A38:D38"/>
    <mergeCell ref="E27:F27"/>
    <mergeCell ref="G27:H27"/>
    <mergeCell ref="C28:J28"/>
    <mergeCell ref="A44:D44"/>
    <mergeCell ref="E44:I44"/>
    <mergeCell ref="C45:D45"/>
    <mergeCell ref="E45:F45"/>
    <mergeCell ref="G45:I45"/>
    <mergeCell ref="A46:D46"/>
    <mergeCell ref="E46:I46"/>
    <mergeCell ref="E41:F41"/>
    <mergeCell ref="G41:H41"/>
    <mergeCell ref="A42:D42"/>
    <mergeCell ref="C59:J59"/>
    <mergeCell ref="E50:F50"/>
    <mergeCell ref="G50:H50"/>
    <mergeCell ref="A51:B51"/>
    <mergeCell ref="C51:D51"/>
    <mergeCell ref="E51:F51"/>
    <mergeCell ref="C61:J61"/>
    <mergeCell ref="E47:F47"/>
    <mergeCell ref="G47:H47"/>
    <mergeCell ref="A48:D48"/>
    <mergeCell ref="E48:I48"/>
    <mergeCell ref="E49:F49"/>
    <mergeCell ref="G49:H49"/>
    <mergeCell ref="C53:J53"/>
    <mergeCell ref="C55:E55"/>
    <mergeCell ref="C57:J57"/>
    <mergeCell ref="A55:B55"/>
    <mergeCell ref="F55:G55"/>
    <mergeCell ref="H55:J55"/>
    <mergeCell ref="E56:F56"/>
    <mergeCell ref="G56:H56"/>
    <mergeCell ref="C52:D52"/>
    <mergeCell ref="E52:F52"/>
    <mergeCell ref="G52:I52"/>
    <mergeCell ref="A22:B22"/>
    <mergeCell ref="E17:F17"/>
    <mergeCell ref="G17:H17"/>
    <mergeCell ref="A18:B18"/>
    <mergeCell ref="A19:J19"/>
    <mergeCell ref="A20:B20"/>
    <mergeCell ref="E15:F15"/>
    <mergeCell ref="G15:H15"/>
    <mergeCell ref="A16:B16"/>
    <mergeCell ref="E16:F16"/>
    <mergeCell ref="H16:I16"/>
    <mergeCell ref="C20:J20"/>
    <mergeCell ref="E21:F21"/>
    <mergeCell ref="G21:H21"/>
    <mergeCell ref="C22:D22"/>
    <mergeCell ref="E22:F22"/>
    <mergeCell ref="G22:J22"/>
    <mergeCell ref="A1:C1"/>
    <mergeCell ref="A2:J2"/>
    <mergeCell ref="A4:D4"/>
    <mergeCell ref="E4:F4"/>
    <mergeCell ref="H4:I4"/>
    <mergeCell ref="A5:J5"/>
    <mergeCell ref="E13:F13"/>
    <mergeCell ref="G13:H13"/>
    <mergeCell ref="A14:B14"/>
    <mergeCell ref="E14:F14"/>
    <mergeCell ref="G14:H14"/>
    <mergeCell ref="A10:I10"/>
    <mergeCell ref="E11:F11"/>
    <mergeCell ref="G11:H11"/>
    <mergeCell ref="A12:B12"/>
    <mergeCell ref="F12:G12"/>
    <mergeCell ref="H12:I12"/>
  </mergeCells>
  <dataValidations count="4">
    <dataValidation type="list" allowBlank="1" showInputMessage="1" showErrorMessage="1" sqref="C51:D51" xr:uid="{00000000-0002-0000-0000-000000000000}">
      <formula1>$J$49:$J$50</formula1>
    </dataValidation>
    <dataValidation type="list" allowBlank="1" showInputMessage="1" showErrorMessage="1" sqref="C32" xr:uid="{00000000-0002-0000-0000-000001000000}">
      <formula1>$H$32:$I$32</formula1>
    </dataValidation>
    <dataValidation type="list" allowBlank="1" showInputMessage="1" showErrorMessage="1" sqref="C34" xr:uid="{00000000-0002-0000-0000-000002000000}">
      <formula1>$H$34:$I$34</formula1>
    </dataValidation>
    <dataValidation type="list" allowBlank="1" showInputMessage="1" showErrorMessage="1" sqref="E8" xr:uid="{A4D487FF-4CDF-4A2A-B220-FBAB58FF2C90}">
      <formula1>$N$2:$N$5</formula1>
    </dataValidation>
  </dataValidations>
  <hyperlinks>
    <hyperlink ref="C26" r:id="rId1" xr:uid="{00000000-0004-0000-0000-000000000000}"/>
    <hyperlink ref="C28" r:id="rId2" xr:uid="{00000000-0004-0000-0000-000001000000}"/>
    <hyperlink ref="C57" r:id="rId3" xr:uid="{00000000-0004-0000-00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80" zoomScaleNormal="80" zoomScaleSheetLayoutView="80" workbookViewId="0">
      <selection activeCell="N123" sqref="N123"/>
    </sheetView>
  </sheetViews>
  <sheetFormatPr defaultRowHeight="14" x14ac:dyDescent="0.3"/>
  <cols>
    <col min="6" max="6" width="21.69921875" customWidth="1"/>
    <col min="8" max="9" width="13.796875" style="46" customWidth="1"/>
  </cols>
  <sheetData>
    <row r="1" spans="1:9" x14ac:dyDescent="0.3">
      <c r="A1" s="194" t="s">
        <v>40</v>
      </c>
      <c r="B1" s="195"/>
      <c r="C1" s="195"/>
      <c r="D1" s="195"/>
      <c r="E1" s="195"/>
      <c r="F1" s="195"/>
      <c r="G1" s="195"/>
      <c r="H1" s="195"/>
      <c r="I1" s="195"/>
    </row>
    <row r="2" spans="1:9" x14ac:dyDescent="0.3">
      <c r="A2" s="196" t="s">
        <v>485</v>
      </c>
      <c r="B2" s="197"/>
      <c r="C2" s="197"/>
      <c r="D2" s="197"/>
      <c r="E2" s="197"/>
      <c r="F2" s="197"/>
      <c r="G2" s="197"/>
      <c r="H2" s="197"/>
      <c r="I2" s="197"/>
    </row>
    <row r="3" spans="1:9" x14ac:dyDescent="0.3">
      <c r="A3" s="198" t="s">
        <v>458</v>
      </c>
      <c r="B3" s="198"/>
      <c r="C3" s="198"/>
      <c r="D3" s="198"/>
      <c r="E3" s="198"/>
      <c r="F3" s="198"/>
      <c r="G3" s="198"/>
      <c r="H3" s="198"/>
      <c r="I3" s="198"/>
    </row>
    <row r="4" spans="1:9" x14ac:dyDescent="0.3">
      <c r="A4" s="199" t="s">
        <v>474</v>
      </c>
      <c r="B4" s="200"/>
      <c r="C4" s="200"/>
      <c r="D4" s="200"/>
      <c r="E4" s="200"/>
      <c r="F4" s="200"/>
      <c r="G4" s="200"/>
      <c r="H4" s="200"/>
      <c r="I4" s="201"/>
    </row>
    <row r="5" spans="1:9" ht="36" thickBot="1" x14ac:dyDescent="0.35">
      <c r="A5" s="202" t="s">
        <v>42</v>
      </c>
      <c r="B5" s="203"/>
      <c r="C5" s="203"/>
      <c r="D5" s="203"/>
      <c r="E5" s="203"/>
      <c r="F5" s="204"/>
      <c r="G5" s="1" t="s">
        <v>43</v>
      </c>
      <c r="H5" s="43" t="s">
        <v>454</v>
      </c>
      <c r="I5" s="44" t="s">
        <v>455</v>
      </c>
    </row>
    <row r="6" spans="1:9" x14ac:dyDescent="0.3">
      <c r="A6" s="205">
        <v>1</v>
      </c>
      <c r="B6" s="206"/>
      <c r="C6" s="206"/>
      <c r="D6" s="206"/>
      <c r="E6" s="206"/>
      <c r="F6" s="207"/>
      <c r="G6" s="2">
        <v>2</v>
      </c>
      <c r="H6" s="45">
        <v>3</v>
      </c>
      <c r="I6" s="45">
        <v>4</v>
      </c>
    </row>
    <row r="7" spans="1:9" x14ac:dyDescent="0.3">
      <c r="A7" s="180"/>
      <c r="B7" s="180"/>
      <c r="C7" s="180"/>
      <c r="D7" s="180"/>
      <c r="E7" s="180"/>
      <c r="F7" s="180"/>
      <c r="G7" s="180"/>
      <c r="H7" s="180"/>
      <c r="I7" s="181"/>
    </row>
    <row r="8" spans="1:9" x14ac:dyDescent="0.3">
      <c r="A8" s="182" t="s">
        <v>44</v>
      </c>
      <c r="B8" s="183"/>
      <c r="C8" s="183"/>
      <c r="D8" s="183"/>
      <c r="E8" s="183"/>
      <c r="F8" s="184"/>
      <c r="G8" s="3">
        <v>1</v>
      </c>
      <c r="H8" s="346">
        <v>0</v>
      </c>
      <c r="I8" s="346">
        <v>0</v>
      </c>
    </row>
    <row r="9" spans="1:9" x14ac:dyDescent="0.3">
      <c r="A9" s="185" t="s">
        <v>45</v>
      </c>
      <c r="B9" s="186"/>
      <c r="C9" s="186"/>
      <c r="D9" s="186"/>
      <c r="E9" s="186"/>
      <c r="F9" s="187"/>
      <c r="G9" s="4">
        <v>2</v>
      </c>
      <c r="H9" s="347">
        <f>H10+H17+H27+H38+H43</f>
        <v>257237322</v>
      </c>
      <c r="I9" s="347">
        <f>I10+I17+I27+I38+I43</f>
        <v>287351801</v>
      </c>
    </row>
    <row r="10" spans="1:9" x14ac:dyDescent="0.3">
      <c r="A10" s="188" t="s">
        <v>46</v>
      </c>
      <c r="B10" s="189"/>
      <c r="C10" s="189"/>
      <c r="D10" s="189"/>
      <c r="E10" s="189"/>
      <c r="F10" s="190"/>
      <c r="G10" s="4">
        <v>3</v>
      </c>
      <c r="H10" s="347">
        <f>H11+H12+H13+H14+H15+H16</f>
        <v>79577</v>
      </c>
      <c r="I10" s="347">
        <f>I11+I12+I13+I14+I15+I16</f>
        <v>17610</v>
      </c>
    </row>
    <row r="11" spans="1:9" x14ac:dyDescent="0.3">
      <c r="A11" s="191" t="s">
        <v>47</v>
      </c>
      <c r="B11" s="192"/>
      <c r="C11" s="192"/>
      <c r="D11" s="192"/>
      <c r="E11" s="192"/>
      <c r="F11" s="193"/>
      <c r="G11" s="3">
        <v>4</v>
      </c>
      <c r="H11" s="346"/>
      <c r="I11" s="346"/>
    </row>
    <row r="12" spans="1:9" x14ac:dyDescent="0.3">
      <c r="A12" s="191" t="s">
        <v>48</v>
      </c>
      <c r="B12" s="192"/>
      <c r="C12" s="192"/>
      <c r="D12" s="192"/>
      <c r="E12" s="192"/>
      <c r="F12" s="193"/>
      <c r="G12" s="3">
        <v>5</v>
      </c>
      <c r="H12" s="346">
        <v>3153</v>
      </c>
      <c r="I12" s="346">
        <f>242331+158151+194209-582137</f>
        <v>12554</v>
      </c>
    </row>
    <row r="13" spans="1:9" x14ac:dyDescent="0.3">
      <c r="A13" s="191" t="s">
        <v>49</v>
      </c>
      <c r="B13" s="192"/>
      <c r="C13" s="192"/>
      <c r="D13" s="192"/>
      <c r="E13" s="192"/>
      <c r="F13" s="193"/>
      <c r="G13" s="3">
        <v>6</v>
      </c>
      <c r="H13" s="346"/>
      <c r="I13" s="346"/>
    </row>
    <row r="14" spans="1:9" x14ac:dyDescent="0.3">
      <c r="A14" s="191" t="s">
        <v>50</v>
      </c>
      <c r="B14" s="192"/>
      <c r="C14" s="192"/>
      <c r="D14" s="192"/>
      <c r="E14" s="192"/>
      <c r="F14" s="193"/>
      <c r="G14" s="3">
        <v>7</v>
      </c>
      <c r="H14" s="346">
        <v>76424</v>
      </c>
      <c r="I14" s="346">
        <v>5056</v>
      </c>
    </row>
    <row r="15" spans="1:9" x14ac:dyDescent="0.3">
      <c r="A15" s="191" t="s">
        <v>51</v>
      </c>
      <c r="B15" s="192"/>
      <c r="C15" s="192"/>
      <c r="D15" s="192"/>
      <c r="E15" s="192"/>
      <c r="F15" s="193"/>
      <c r="G15" s="3">
        <v>8</v>
      </c>
      <c r="H15" s="346"/>
      <c r="I15" s="346"/>
    </row>
    <row r="16" spans="1:9" x14ac:dyDescent="0.3">
      <c r="A16" s="191" t="s">
        <v>52</v>
      </c>
      <c r="B16" s="192"/>
      <c r="C16" s="192"/>
      <c r="D16" s="192"/>
      <c r="E16" s="192"/>
      <c r="F16" s="193"/>
      <c r="G16" s="3">
        <v>9</v>
      </c>
      <c r="H16" s="346"/>
      <c r="I16" s="346"/>
    </row>
    <row r="17" spans="1:9" x14ac:dyDescent="0.3">
      <c r="A17" s="188" t="s">
        <v>53</v>
      </c>
      <c r="B17" s="189"/>
      <c r="C17" s="189"/>
      <c r="D17" s="189"/>
      <c r="E17" s="189"/>
      <c r="F17" s="190"/>
      <c r="G17" s="4">
        <v>10</v>
      </c>
      <c r="H17" s="347">
        <f>H18+H19+H20+H21+H22+H23+H24+H25+H26</f>
        <v>155604066</v>
      </c>
      <c r="I17" s="347">
        <f>I18+I19+I20+I21+I22+I23+I24+I25+I26</f>
        <v>192443008</v>
      </c>
    </row>
    <row r="18" spans="1:9" x14ac:dyDescent="0.3">
      <c r="A18" s="191" t="s">
        <v>54</v>
      </c>
      <c r="B18" s="192"/>
      <c r="C18" s="192"/>
      <c r="D18" s="192"/>
      <c r="E18" s="192"/>
      <c r="F18" s="193"/>
      <c r="G18" s="3">
        <v>11</v>
      </c>
      <c r="H18" s="346">
        <v>4331290</v>
      </c>
      <c r="I18" s="346">
        <v>4331290</v>
      </c>
    </row>
    <row r="19" spans="1:9" x14ac:dyDescent="0.3">
      <c r="A19" s="191" t="s">
        <v>55</v>
      </c>
      <c r="B19" s="192"/>
      <c r="C19" s="192"/>
      <c r="D19" s="192"/>
      <c r="E19" s="192"/>
      <c r="F19" s="193"/>
      <c r="G19" s="3">
        <v>12</v>
      </c>
      <c r="H19" s="346">
        <v>122107086</v>
      </c>
      <c r="I19" s="346">
        <f>52191413+9217740+14974349+42337756-58094140-5440890+135311750-35334754</f>
        <v>155163224</v>
      </c>
    </row>
    <row r="20" spans="1:9" x14ac:dyDescent="0.3">
      <c r="A20" s="191" t="s">
        <v>56</v>
      </c>
      <c r="B20" s="192"/>
      <c r="C20" s="192"/>
      <c r="D20" s="192"/>
      <c r="E20" s="192"/>
      <c r="F20" s="193"/>
      <c r="G20" s="3">
        <v>13</v>
      </c>
      <c r="H20" s="346">
        <v>9965277</v>
      </c>
      <c r="I20" s="346">
        <f>9998159-62545</f>
        <v>9935614</v>
      </c>
    </row>
    <row r="21" spans="1:9" x14ac:dyDescent="0.3">
      <c r="A21" s="191" t="s">
        <v>57</v>
      </c>
      <c r="B21" s="192"/>
      <c r="C21" s="192"/>
      <c r="D21" s="192"/>
      <c r="E21" s="192"/>
      <c r="F21" s="193"/>
      <c r="G21" s="3">
        <v>14</v>
      </c>
      <c r="H21" s="346">
        <v>728306</v>
      </c>
      <c r="I21" s="346">
        <v>1830716</v>
      </c>
    </row>
    <row r="22" spans="1:9" x14ac:dyDescent="0.3">
      <c r="A22" s="191" t="s">
        <v>58</v>
      </c>
      <c r="B22" s="192"/>
      <c r="C22" s="192"/>
      <c r="D22" s="192"/>
      <c r="E22" s="192"/>
      <c r="F22" s="193"/>
      <c r="G22" s="3">
        <v>15</v>
      </c>
      <c r="H22" s="346">
        <v>708708</v>
      </c>
      <c r="I22" s="346">
        <f>1089570+14734</f>
        <v>1104304</v>
      </c>
    </row>
    <row r="23" spans="1:9" x14ac:dyDescent="0.3">
      <c r="A23" s="191" t="s">
        <v>59</v>
      </c>
      <c r="B23" s="192"/>
      <c r="C23" s="192"/>
      <c r="D23" s="192"/>
      <c r="E23" s="192"/>
      <c r="F23" s="193"/>
      <c r="G23" s="3">
        <v>16</v>
      </c>
      <c r="H23" s="346">
        <v>6630298</v>
      </c>
      <c r="I23" s="346">
        <f>6618451+137052</f>
        <v>6755503</v>
      </c>
    </row>
    <row r="24" spans="1:9" x14ac:dyDescent="0.3">
      <c r="A24" s="191" t="s">
        <v>60</v>
      </c>
      <c r="B24" s="192"/>
      <c r="C24" s="192"/>
      <c r="D24" s="192"/>
      <c r="E24" s="192"/>
      <c r="F24" s="193"/>
      <c r="G24" s="3">
        <v>17</v>
      </c>
      <c r="H24" s="346">
        <v>10644466</v>
      </c>
      <c r="I24" s="346">
        <f>1276227+9493645+2001850+62000</f>
        <v>12833722</v>
      </c>
    </row>
    <row r="25" spans="1:9" x14ac:dyDescent="0.3">
      <c r="A25" s="191" t="s">
        <v>61</v>
      </c>
      <c r="B25" s="192"/>
      <c r="C25" s="192"/>
      <c r="D25" s="192"/>
      <c r="E25" s="192"/>
      <c r="F25" s="193"/>
      <c r="G25" s="3">
        <v>18</v>
      </c>
      <c r="H25" s="346">
        <v>488635</v>
      </c>
      <c r="I25" s="346">
        <v>488635</v>
      </c>
    </row>
    <row r="26" spans="1:9" x14ac:dyDescent="0.3">
      <c r="A26" s="191" t="s">
        <v>62</v>
      </c>
      <c r="B26" s="192"/>
      <c r="C26" s="192"/>
      <c r="D26" s="192"/>
      <c r="E26" s="192"/>
      <c r="F26" s="193"/>
      <c r="G26" s="3">
        <v>19</v>
      </c>
      <c r="H26" s="346"/>
      <c r="I26" s="346"/>
    </row>
    <row r="27" spans="1:9" x14ac:dyDescent="0.3">
      <c r="A27" s="188" t="s">
        <v>63</v>
      </c>
      <c r="B27" s="189"/>
      <c r="C27" s="189"/>
      <c r="D27" s="189"/>
      <c r="E27" s="189"/>
      <c r="F27" s="190"/>
      <c r="G27" s="4">
        <v>20</v>
      </c>
      <c r="H27" s="347">
        <f>SUM(H28:H37)</f>
        <v>101553679</v>
      </c>
      <c r="I27" s="347">
        <f>SUM(I28:I37)</f>
        <v>94891183</v>
      </c>
    </row>
    <row r="28" spans="1:9" x14ac:dyDescent="0.3">
      <c r="A28" s="191" t="s">
        <v>464</v>
      </c>
      <c r="B28" s="192"/>
      <c r="C28" s="192"/>
      <c r="D28" s="192"/>
      <c r="E28" s="192"/>
      <c r="F28" s="193"/>
      <c r="G28" s="3">
        <v>21</v>
      </c>
      <c r="H28" s="346"/>
      <c r="I28" s="346"/>
    </row>
    <row r="29" spans="1:9" x14ac:dyDescent="0.3">
      <c r="A29" s="191" t="s">
        <v>65</v>
      </c>
      <c r="B29" s="192"/>
      <c r="C29" s="192"/>
      <c r="D29" s="192"/>
      <c r="E29" s="192"/>
      <c r="F29" s="193"/>
      <c r="G29" s="3">
        <v>22</v>
      </c>
      <c r="H29" s="346"/>
      <c r="I29" s="346"/>
    </row>
    <row r="30" spans="1:9" x14ac:dyDescent="0.3">
      <c r="A30" s="191" t="s">
        <v>66</v>
      </c>
      <c r="B30" s="192"/>
      <c r="C30" s="192"/>
      <c r="D30" s="192"/>
      <c r="E30" s="192"/>
      <c r="F30" s="193"/>
      <c r="G30" s="3">
        <v>23</v>
      </c>
      <c r="H30" s="346"/>
      <c r="I30" s="346"/>
    </row>
    <row r="31" spans="1:9" x14ac:dyDescent="0.3">
      <c r="A31" s="191" t="s">
        <v>456</v>
      </c>
      <c r="B31" s="192"/>
      <c r="C31" s="192"/>
      <c r="D31" s="192"/>
      <c r="E31" s="192"/>
      <c r="F31" s="193"/>
      <c r="G31" s="3">
        <v>24</v>
      </c>
      <c r="H31" s="346">
        <v>1266600</v>
      </c>
      <c r="I31" s="346">
        <v>1266600</v>
      </c>
    </row>
    <row r="32" spans="1:9" x14ac:dyDescent="0.3">
      <c r="A32" s="191" t="s">
        <v>68</v>
      </c>
      <c r="B32" s="192"/>
      <c r="C32" s="192"/>
      <c r="D32" s="192"/>
      <c r="E32" s="192"/>
      <c r="F32" s="193"/>
      <c r="G32" s="3">
        <v>25</v>
      </c>
      <c r="H32" s="346"/>
      <c r="I32" s="346"/>
    </row>
    <row r="33" spans="1:9" x14ac:dyDescent="0.3">
      <c r="A33" s="191" t="s">
        <v>69</v>
      </c>
      <c r="B33" s="192"/>
      <c r="C33" s="192"/>
      <c r="D33" s="192"/>
      <c r="E33" s="192"/>
      <c r="F33" s="193"/>
      <c r="G33" s="3">
        <v>26</v>
      </c>
      <c r="H33" s="346"/>
      <c r="I33" s="346"/>
    </row>
    <row r="34" spans="1:9" x14ac:dyDescent="0.3">
      <c r="A34" s="191" t="s">
        <v>70</v>
      </c>
      <c r="B34" s="192"/>
      <c r="C34" s="192"/>
      <c r="D34" s="192"/>
      <c r="E34" s="192"/>
      <c r="F34" s="193"/>
      <c r="G34" s="3">
        <v>27</v>
      </c>
      <c r="H34" s="346">
        <v>99961775</v>
      </c>
      <c r="I34" s="346">
        <v>93443925</v>
      </c>
    </row>
    <row r="35" spans="1:9" x14ac:dyDescent="0.3">
      <c r="A35" s="191" t="s">
        <v>71</v>
      </c>
      <c r="B35" s="192"/>
      <c r="C35" s="192"/>
      <c r="D35" s="192"/>
      <c r="E35" s="192"/>
      <c r="F35" s="193"/>
      <c r="G35" s="3">
        <v>28</v>
      </c>
      <c r="H35" s="346">
        <v>325304</v>
      </c>
      <c r="I35" s="346">
        <v>180658</v>
      </c>
    </row>
    <row r="36" spans="1:9" x14ac:dyDescent="0.3">
      <c r="A36" s="191" t="s">
        <v>72</v>
      </c>
      <c r="B36" s="192"/>
      <c r="C36" s="192"/>
      <c r="D36" s="192"/>
      <c r="E36" s="192"/>
      <c r="F36" s="193"/>
      <c r="G36" s="3">
        <v>29</v>
      </c>
      <c r="H36" s="346"/>
      <c r="I36" s="346"/>
    </row>
    <row r="37" spans="1:9" x14ac:dyDescent="0.3">
      <c r="A37" s="191" t="s">
        <v>73</v>
      </c>
      <c r="B37" s="192"/>
      <c r="C37" s="192"/>
      <c r="D37" s="192"/>
      <c r="E37" s="192"/>
      <c r="F37" s="193"/>
      <c r="G37" s="3">
        <v>30</v>
      </c>
      <c r="H37" s="346"/>
      <c r="I37" s="346"/>
    </row>
    <row r="38" spans="1:9" x14ac:dyDescent="0.3">
      <c r="A38" s="188" t="s">
        <v>74</v>
      </c>
      <c r="B38" s="189"/>
      <c r="C38" s="189"/>
      <c r="D38" s="189"/>
      <c r="E38" s="189"/>
      <c r="F38" s="190"/>
      <c r="G38" s="4">
        <v>31</v>
      </c>
      <c r="H38" s="347">
        <f>H39+H40+H41+H42</f>
        <v>0</v>
      </c>
      <c r="I38" s="347">
        <f>I39+I40+I41+I42</f>
        <v>0</v>
      </c>
    </row>
    <row r="39" spans="1:9" x14ac:dyDescent="0.3">
      <c r="A39" s="191" t="s">
        <v>75</v>
      </c>
      <c r="B39" s="192"/>
      <c r="C39" s="192"/>
      <c r="D39" s="192"/>
      <c r="E39" s="192"/>
      <c r="F39" s="193"/>
      <c r="G39" s="3">
        <v>32</v>
      </c>
      <c r="H39" s="346"/>
      <c r="I39" s="346"/>
    </row>
    <row r="40" spans="1:9" x14ac:dyDescent="0.3">
      <c r="A40" s="191" t="s">
        <v>76</v>
      </c>
      <c r="B40" s="192"/>
      <c r="C40" s="192"/>
      <c r="D40" s="192"/>
      <c r="E40" s="192"/>
      <c r="F40" s="193"/>
      <c r="G40" s="3">
        <v>33</v>
      </c>
      <c r="H40" s="346"/>
      <c r="I40" s="346"/>
    </row>
    <row r="41" spans="1:9" x14ac:dyDescent="0.3">
      <c r="A41" s="191" t="s">
        <v>77</v>
      </c>
      <c r="B41" s="192"/>
      <c r="C41" s="192"/>
      <c r="D41" s="192"/>
      <c r="E41" s="192"/>
      <c r="F41" s="193"/>
      <c r="G41" s="3">
        <v>34</v>
      </c>
      <c r="H41" s="346"/>
      <c r="I41" s="346"/>
    </row>
    <row r="42" spans="1:9" x14ac:dyDescent="0.3">
      <c r="A42" s="191" t="s">
        <v>78</v>
      </c>
      <c r="B42" s="192"/>
      <c r="C42" s="192"/>
      <c r="D42" s="192"/>
      <c r="E42" s="192"/>
      <c r="F42" s="193"/>
      <c r="G42" s="3">
        <v>35</v>
      </c>
      <c r="H42" s="346"/>
      <c r="I42" s="346"/>
    </row>
    <row r="43" spans="1:9" x14ac:dyDescent="0.3">
      <c r="A43" s="208" t="s">
        <v>79</v>
      </c>
      <c r="B43" s="209"/>
      <c r="C43" s="209"/>
      <c r="D43" s="209"/>
      <c r="E43" s="209"/>
      <c r="F43" s="210"/>
      <c r="G43" s="3">
        <v>36</v>
      </c>
      <c r="H43" s="346"/>
      <c r="I43" s="346"/>
    </row>
    <row r="44" spans="1:9" x14ac:dyDescent="0.3">
      <c r="A44" s="185" t="s">
        <v>80</v>
      </c>
      <c r="B44" s="186"/>
      <c r="C44" s="186"/>
      <c r="D44" s="186"/>
      <c r="E44" s="186"/>
      <c r="F44" s="187"/>
      <c r="G44" s="4">
        <v>37</v>
      </c>
      <c r="H44" s="347">
        <f>H45+H53+H60+H70</f>
        <v>46137535</v>
      </c>
      <c r="I44" s="347">
        <f>I45+I53+I60+I70</f>
        <v>38262036</v>
      </c>
    </row>
    <row r="45" spans="1:9" x14ac:dyDescent="0.3">
      <c r="A45" s="188" t="s">
        <v>81</v>
      </c>
      <c r="B45" s="189"/>
      <c r="C45" s="189"/>
      <c r="D45" s="189"/>
      <c r="E45" s="189"/>
      <c r="F45" s="190"/>
      <c r="G45" s="4">
        <v>38</v>
      </c>
      <c r="H45" s="347">
        <f>SUM(H46:H52)</f>
        <v>227055</v>
      </c>
      <c r="I45" s="347">
        <f>SUM(I46:I52)</f>
        <v>385225</v>
      </c>
    </row>
    <row r="46" spans="1:9" x14ac:dyDescent="0.3">
      <c r="A46" s="191" t="s">
        <v>82</v>
      </c>
      <c r="B46" s="192"/>
      <c r="C46" s="192"/>
      <c r="D46" s="192"/>
      <c r="E46" s="192"/>
      <c r="F46" s="193"/>
      <c r="G46" s="3">
        <v>39</v>
      </c>
      <c r="H46" s="346">
        <v>1830</v>
      </c>
      <c r="I46" s="346">
        <v>1430</v>
      </c>
    </row>
    <row r="47" spans="1:9" x14ac:dyDescent="0.3">
      <c r="A47" s="191" t="s">
        <v>83</v>
      </c>
      <c r="B47" s="192"/>
      <c r="C47" s="192"/>
      <c r="D47" s="192"/>
      <c r="E47" s="192"/>
      <c r="F47" s="193"/>
      <c r="G47" s="3">
        <v>40</v>
      </c>
      <c r="H47" s="346"/>
      <c r="I47" s="346"/>
    </row>
    <row r="48" spans="1:9" x14ac:dyDescent="0.3">
      <c r="A48" s="191" t="s">
        <v>84</v>
      </c>
      <c r="B48" s="192"/>
      <c r="C48" s="192"/>
      <c r="D48" s="192"/>
      <c r="E48" s="192"/>
      <c r="F48" s="193"/>
      <c r="G48" s="3">
        <v>41</v>
      </c>
      <c r="H48" s="346"/>
      <c r="I48" s="346"/>
    </row>
    <row r="49" spans="1:9" x14ac:dyDescent="0.3">
      <c r="A49" s="191" t="s">
        <v>85</v>
      </c>
      <c r="B49" s="192"/>
      <c r="C49" s="192"/>
      <c r="D49" s="192"/>
      <c r="E49" s="192"/>
      <c r="F49" s="193"/>
      <c r="G49" s="3">
        <v>42</v>
      </c>
      <c r="H49" s="346">
        <v>139568</v>
      </c>
      <c r="I49" s="346">
        <v>110906</v>
      </c>
    </row>
    <row r="50" spans="1:9" x14ac:dyDescent="0.3">
      <c r="A50" s="191" t="s">
        <v>86</v>
      </c>
      <c r="B50" s="192"/>
      <c r="C50" s="192"/>
      <c r="D50" s="192"/>
      <c r="E50" s="192"/>
      <c r="F50" s="193"/>
      <c r="G50" s="3">
        <v>43</v>
      </c>
      <c r="H50" s="346">
        <v>85657</v>
      </c>
      <c r="I50" s="346">
        <v>272889</v>
      </c>
    </row>
    <row r="51" spans="1:9" x14ac:dyDescent="0.3">
      <c r="A51" s="191" t="s">
        <v>87</v>
      </c>
      <c r="B51" s="192"/>
      <c r="C51" s="192"/>
      <c r="D51" s="192"/>
      <c r="E51" s="192"/>
      <c r="F51" s="193"/>
      <c r="G51" s="3">
        <v>44</v>
      </c>
      <c r="H51" s="346"/>
      <c r="I51" s="346"/>
    </row>
    <row r="52" spans="1:9" x14ac:dyDescent="0.3">
      <c r="A52" s="191" t="s">
        <v>88</v>
      </c>
      <c r="B52" s="192"/>
      <c r="C52" s="192"/>
      <c r="D52" s="192"/>
      <c r="E52" s="192"/>
      <c r="F52" s="193"/>
      <c r="G52" s="3">
        <v>45</v>
      </c>
      <c r="H52" s="346"/>
      <c r="I52" s="346"/>
    </row>
    <row r="53" spans="1:9" x14ac:dyDescent="0.3">
      <c r="A53" s="188" t="s">
        <v>89</v>
      </c>
      <c r="B53" s="189"/>
      <c r="C53" s="189"/>
      <c r="D53" s="189"/>
      <c r="E53" s="189"/>
      <c r="F53" s="190"/>
      <c r="G53" s="4">
        <v>46</v>
      </c>
      <c r="H53" s="347">
        <f>SUM(H54:H59)</f>
        <v>1758866</v>
      </c>
      <c r="I53" s="347">
        <f>SUM(I54:I59)</f>
        <v>2929034</v>
      </c>
    </row>
    <row r="54" spans="1:9" x14ac:dyDescent="0.3">
      <c r="A54" s="191" t="s">
        <v>90</v>
      </c>
      <c r="B54" s="192"/>
      <c r="C54" s="192"/>
      <c r="D54" s="192"/>
      <c r="E54" s="192"/>
      <c r="F54" s="193"/>
      <c r="G54" s="3">
        <v>47</v>
      </c>
      <c r="H54" s="346"/>
      <c r="I54" s="346"/>
    </row>
    <row r="55" spans="1:9" x14ac:dyDescent="0.3">
      <c r="A55" s="191" t="s">
        <v>91</v>
      </c>
      <c r="B55" s="192"/>
      <c r="C55" s="192"/>
      <c r="D55" s="192"/>
      <c r="E55" s="192"/>
      <c r="F55" s="193"/>
      <c r="G55" s="3">
        <v>48</v>
      </c>
      <c r="H55" s="346"/>
      <c r="I55" s="346">
        <v>25569</v>
      </c>
    </row>
    <row r="56" spans="1:9" x14ac:dyDescent="0.3">
      <c r="A56" s="191" t="s">
        <v>92</v>
      </c>
      <c r="B56" s="192"/>
      <c r="C56" s="192"/>
      <c r="D56" s="192"/>
      <c r="E56" s="192"/>
      <c r="F56" s="193"/>
      <c r="G56" s="3">
        <v>49</v>
      </c>
      <c r="H56" s="346">
        <v>258827</v>
      </c>
      <c r="I56" s="346">
        <f>1329348+19732</f>
        <v>1349080</v>
      </c>
    </row>
    <row r="57" spans="1:9" x14ac:dyDescent="0.3">
      <c r="A57" s="191" t="s">
        <v>93</v>
      </c>
      <c r="B57" s="192"/>
      <c r="C57" s="192"/>
      <c r="D57" s="192"/>
      <c r="E57" s="192"/>
      <c r="F57" s="193"/>
      <c r="G57" s="3">
        <v>50</v>
      </c>
      <c r="H57" s="346"/>
      <c r="I57" s="346"/>
    </row>
    <row r="58" spans="1:9" x14ac:dyDescent="0.3">
      <c r="A58" s="191" t="s">
        <v>94</v>
      </c>
      <c r="B58" s="192"/>
      <c r="C58" s="192"/>
      <c r="D58" s="192"/>
      <c r="E58" s="192"/>
      <c r="F58" s="193"/>
      <c r="G58" s="3">
        <v>51</v>
      </c>
      <c r="H58" s="346">
        <v>1415751</v>
      </c>
      <c r="I58" s="346">
        <f>823423+12711+2439</f>
        <v>838573</v>
      </c>
    </row>
    <row r="59" spans="1:9" x14ac:dyDescent="0.3">
      <c r="A59" s="191" t="s">
        <v>95</v>
      </c>
      <c r="B59" s="192"/>
      <c r="C59" s="192"/>
      <c r="D59" s="192"/>
      <c r="E59" s="192"/>
      <c r="F59" s="193"/>
      <c r="G59" s="3">
        <v>52</v>
      </c>
      <c r="H59" s="346">
        <v>84288</v>
      </c>
      <c r="I59" s="346">
        <f>63146+280+18052+634334</f>
        <v>715812</v>
      </c>
    </row>
    <row r="60" spans="1:9" x14ac:dyDescent="0.3">
      <c r="A60" s="188" t="s">
        <v>96</v>
      </c>
      <c r="B60" s="189"/>
      <c r="C60" s="189"/>
      <c r="D60" s="189"/>
      <c r="E60" s="189"/>
      <c r="F60" s="190"/>
      <c r="G60" s="4">
        <v>53</v>
      </c>
      <c r="H60" s="347">
        <f>SUM(H61:H69)</f>
        <v>12610304</v>
      </c>
      <c r="I60" s="347">
        <f>SUM(I61:I69)</f>
        <v>19532095</v>
      </c>
    </row>
    <row r="61" spans="1:9" x14ac:dyDescent="0.3">
      <c r="A61" s="191" t="s">
        <v>64</v>
      </c>
      <c r="B61" s="192"/>
      <c r="C61" s="192"/>
      <c r="D61" s="192"/>
      <c r="E61" s="192"/>
      <c r="F61" s="193"/>
      <c r="G61" s="3">
        <v>54</v>
      </c>
      <c r="H61" s="346"/>
      <c r="I61" s="346"/>
    </row>
    <row r="62" spans="1:9" x14ac:dyDescent="0.3">
      <c r="A62" s="191" t="s">
        <v>65</v>
      </c>
      <c r="B62" s="192"/>
      <c r="C62" s="192"/>
      <c r="D62" s="192"/>
      <c r="E62" s="192"/>
      <c r="F62" s="193"/>
      <c r="G62" s="3">
        <v>55</v>
      </c>
      <c r="H62" s="346"/>
      <c r="I62" s="346"/>
    </row>
    <row r="63" spans="1:9" x14ac:dyDescent="0.3">
      <c r="A63" s="191" t="s">
        <v>66</v>
      </c>
      <c r="B63" s="192"/>
      <c r="C63" s="192"/>
      <c r="D63" s="192"/>
      <c r="E63" s="192"/>
      <c r="F63" s="193"/>
      <c r="G63" s="3">
        <v>56</v>
      </c>
      <c r="H63" s="346"/>
      <c r="I63" s="346"/>
    </row>
    <row r="64" spans="1:9" x14ac:dyDescent="0.3">
      <c r="A64" s="191" t="s">
        <v>67</v>
      </c>
      <c r="B64" s="192"/>
      <c r="C64" s="192"/>
      <c r="D64" s="192"/>
      <c r="E64" s="192"/>
      <c r="F64" s="193"/>
      <c r="G64" s="3">
        <v>57</v>
      </c>
      <c r="H64" s="346"/>
      <c r="I64" s="346"/>
    </row>
    <row r="65" spans="1:9" x14ac:dyDescent="0.3">
      <c r="A65" s="191" t="s">
        <v>68</v>
      </c>
      <c r="B65" s="192"/>
      <c r="C65" s="192"/>
      <c r="D65" s="192"/>
      <c r="E65" s="192"/>
      <c r="F65" s="193"/>
      <c r="G65" s="3">
        <v>58</v>
      </c>
      <c r="H65" s="346"/>
      <c r="I65" s="346"/>
    </row>
    <row r="66" spans="1:9" x14ac:dyDescent="0.3">
      <c r="A66" s="191" t="s">
        <v>69</v>
      </c>
      <c r="B66" s="192"/>
      <c r="C66" s="192"/>
      <c r="D66" s="192"/>
      <c r="E66" s="192"/>
      <c r="F66" s="193"/>
      <c r="G66" s="3">
        <v>59</v>
      </c>
      <c r="H66" s="346"/>
      <c r="I66" s="346"/>
    </row>
    <row r="67" spans="1:9" x14ac:dyDescent="0.3">
      <c r="A67" s="191" t="s">
        <v>70</v>
      </c>
      <c r="B67" s="192"/>
      <c r="C67" s="192"/>
      <c r="D67" s="192"/>
      <c r="E67" s="192"/>
      <c r="F67" s="193"/>
      <c r="G67" s="3">
        <v>60</v>
      </c>
      <c r="H67" s="346"/>
      <c r="I67" s="346"/>
    </row>
    <row r="68" spans="1:9" x14ac:dyDescent="0.3">
      <c r="A68" s="191" t="s">
        <v>71</v>
      </c>
      <c r="B68" s="192"/>
      <c r="C68" s="192"/>
      <c r="D68" s="192"/>
      <c r="E68" s="192"/>
      <c r="F68" s="193"/>
      <c r="G68" s="3">
        <v>61</v>
      </c>
      <c r="H68" s="346">
        <v>12610304</v>
      </c>
      <c r="I68" s="346">
        <v>19532095</v>
      </c>
    </row>
    <row r="69" spans="1:9" x14ac:dyDescent="0.3">
      <c r="A69" s="191" t="s">
        <v>97</v>
      </c>
      <c r="B69" s="192"/>
      <c r="C69" s="192"/>
      <c r="D69" s="192"/>
      <c r="E69" s="192"/>
      <c r="F69" s="193"/>
      <c r="G69" s="3">
        <v>62</v>
      </c>
      <c r="H69" s="346"/>
      <c r="I69" s="346"/>
    </row>
    <row r="70" spans="1:9" x14ac:dyDescent="0.3">
      <c r="A70" s="208" t="s">
        <v>98</v>
      </c>
      <c r="B70" s="209"/>
      <c r="C70" s="209"/>
      <c r="D70" s="209"/>
      <c r="E70" s="209"/>
      <c r="F70" s="210"/>
      <c r="G70" s="3">
        <v>63</v>
      </c>
      <c r="H70" s="346">
        <v>31541310</v>
      </c>
      <c r="I70" s="346">
        <f>14360412+475941+574727+4602</f>
        <v>15415682</v>
      </c>
    </row>
    <row r="71" spans="1:9" x14ac:dyDescent="0.3">
      <c r="A71" s="211" t="s">
        <v>99</v>
      </c>
      <c r="B71" s="212"/>
      <c r="C71" s="212"/>
      <c r="D71" s="212"/>
      <c r="E71" s="212"/>
      <c r="F71" s="213"/>
      <c r="G71" s="3">
        <v>64</v>
      </c>
      <c r="H71" s="346"/>
      <c r="I71" s="346"/>
    </row>
    <row r="72" spans="1:9" x14ac:dyDescent="0.3">
      <c r="A72" s="185" t="s">
        <v>100</v>
      </c>
      <c r="B72" s="186"/>
      <c r="C72" s="186"/>
      <c r="D72" s="186"/>
      <c r="E72" s="186"/>
      <c r="F72" s="187"/>
      <c r="G72" s="4">
        <v>65</v>
      </c>
      <c r="H72" s="347">
        <f>H8+H9+H44+H71</f>
        <v>303374857</v>
      </c>
      <c r="I72" s="347">
        <f>I8+I9+I44+I71</f>
        <v>325613837</v>
      </c>
    </row>
    <row r="73" spans="1:9" x14ac:dyDescent="0.3">
      <c r="A73" s="216" t="s">
        <v>101</v>
      </c>
      <c r="B73" s="217"/>
      <c r="C73" s="217"/>
      <c r="D73" s="217"/>
      <c r="E73" s="217"/>
      <c r="F73" s="218"/>
      <c r="G73" s="6">
        <v>66</v>
      </c>
      <c r="H73" s="346"/>
      <c r="I73" s="346">
        <v>80421294</v>
      </c>
    </row>
    <row r="74" spans="1:9" x14ac:dyDescent="0.3">
      <c r="A74" s="219" t="s">
        <v>102</v>
      </c>
      <c r="B74" s="220"/>
      <c r="C74" s="220"/>
      <c r="D74" s="220"/>
      <c r="E74" s="220"/>
      <c r="F74" s="220"/>
      <c r="G74" s="220"/>
      <c r="H74" s="220"/>
      <c r="I74" s="220"/>
    </row>
    <row r="75" spans="1:9" x14ac:dyDescent="0.3">
      <c r="A75" s="221" t="s">
        <v>103</v>
      </c>
      <c r="B75" s="222"/>
      <c r="C75" s="222"/>
      <c r="D75" s="222"/>
      <c r="E75" s="222"/>
      <c r="F75" s="222"/>
      <c r="G75" s="4">
        <v>67</v>
      </c>
      <c r="H75" s="348">
        <f>H76+H77+H78+H84+H85+H91+H94+H97</f>
        <v>209919980</v>
      </c>
      <c r="I75" s="348">
        <f>I76+I77+I78+I84+I85+I91+I94+I97</f>
        <v>221244287</v>
      </c>
    </row>
    <row r="76" spans="1:9" x14ac:dyDescent="0.3">
      <c r="A76" s="215" t="s">
        <v>104</v>
      </c>
      <c r="B76" s="215"/>
      <c r="C76" s="215"/>
      <c r="D76" s="215"/>
      <c r="E76" s="215"/>
      <c r="F76" s="215"/>
      <c r="G76" s="3">
        <v>68</v>
      </c>
      <c r="H76" s="346">
        <v>106730270</v>
      </c>
      <c r="I76" s="346">
        <f>106730270+3700000</f>
        <v>110430270</v>
      </c>
    </row>
    <row r="77" spans="1:9" x14ac:dyDescent="0.3">
      <c r="A77" s="215" t="s">
        <v>105</v>
      </c>
      <c r="B77" s="215"/>
      <c r="C77" s="215"/>
      <c r="D77" s="215"/>
      <c r="E77" s="215"/>
      <c r="F77" s="215"/>
      <c r="G77" s="3">
        <v>69</v>
      </c>
      <c r="H77" s="346">
        <v>89604321</v>
      </c>
      <c r="I77" s="346">
        <f>89604321+13958</f>
        <v>89618279</v>
      </c>
    </row>
    <row r="78" spans="1:9" x14ac:dyDescent="0.3">
      <c r="A78" s="223" t="s">
        <v>106</v>
      </c>
      <c r="B78" s="223"/>
      <c r="C78" s="223"/>
      <c r="D78" s="223"/>
      <c r="E78" s="223"/>
      <c r="F78" s="223"/>
      <c r="G78" s="4">
        <v>70</v>
      </c>
      <c r="H78" s="348">
        <f>SUM(H79:H83)</f>
        <v>571419</v>
      </c>
      <c r="I78" s="348">
        <f>SUM(I79:I83)</f>
        <v>571419</v>
      </c>
    </row>
    <row r="79" spans="1:9" x14ac:dyDescent="0.3">
      <c r="A79" s="214" t="s">
        <v>107</v>
      </c>
      <c r="B79" s="214"/>
      <c r="C79" s="214"/>
      <c r="D79" s="214"/>
      <c r="E79" s="214"/>
      <c r="F79" s="214"/>
      <c r="G79" s="3">
        <v>71</v>
      </c>
      <c r="H79" s="346">
        <v>571419</v>
      </c>
      <c r="I79" s="346">
        <v>571419</v>
      </c>
    </row>
    <row r="80" spans="1:9" x14ac:dyDescent="0.3">
      <c r="A80" s="214" t="s">
        <v>108</v>
      </c>
      <c r="B80" s="214"/>
      <c r="C80" s="214"/>
      <c r="D80" s="214"/>
      <c r="E80" s="214"/>
      <c r="F80" s="214"/>
      <c r="G80" s="3">
        <v>72</v>
      </c>
      <c r="H80" s="346">
        <v>1190650</v>
      </c>
      <c r="I80" s="346">
        <v>1453058</v>
      </c>
    </row>
    <row r="81" spans="1:9" x14ac:dyDescent="0.3">
      <c r="A81" s="214" t="s">
        <v>109</v>
      </c>
      <c r="B81" s="214"/>
      <c r="C81" s="214"/>
      <c r="D81" s="214"/>
      <c r="E81" s="214"/>
      <c r="F81" s="214"/>
      <c r="G81" s="3">
        <v>73</v>
      </c>
      <c r="H81" s="346">
        <v>-1190650</v>
      </c>
      <c r="I81" s="346">
        <v>-1453058</v>
      </c>
    </row>
    <row r="82" spans="1:9" x14ac:dyDescent="0.3">
      <c r="A82" s="214" t="s">
        <v>110</v>
      </c>
      <c r="B82" s="214"/>
      <c r="C82" s="214"/>
      <c r="D82" s="214"/>
      <c r="E82" s="214"/>
      <c r="F82" s="214"/>
      <c r="G82" s="3">
        <v>74</v>
      </c>
      <c r="H82" s="346"/>
      <c r="I82" s="346"/>
    </row>
    <row r="83" spans="1:9" x14ac:dyDescent="0.3">
      <c r="A83" s="214" t="s">
        <v>111</v>
      </c>
      <c r="B83" s="214"/>
      <c r="C83" s="214"/>
      <c r="D83" s="214"/>
      <c r="E83" s="214"/>
      <c r="F83" s="214"/>
      <c r="G83" s="3">
        <v>75</v>
      </c>
      <c r="H83" s="346"/>
      <c r="I83" s="346"/>
    </row>
    <row r="84" spans="1:9" x14ac:dyDescent="0.3">
      <c r="A84" s="215" t="s">
        <v>112</v>
      </c>
      <c r="B84" s="215"/>
      <c r="C84" s="215"/>
      <c r="D84" s="215"/>
      <c r="E84" s="215"/>
      <c r="F84" s="215"/>
      <c r="G84" s="3">
        <v>76</v>
      </c>
      <c r="H84" s="349">
        <v>-12534696</v>
      </c>
      <c r="I84" s="349">
        <v>-19052546</v>
      </c>
    </row>
    <row r="85" spans="1:9" x14ac:dyDescent="0.3">
      <c r="A85" s="224" t="s">
        <v>113</v>
      </c>
      <c r="B85" s="223"/>
      <c r="C85" s="223"/>
      <c r="D85" s="223"/>
      <c r="E85" s="223"/>
      <c r="F85" s="223"/>
      <c r="G85" s="4">
        <v>77</v>
      </c>
      <c r="H85" s="347">
        <f>H86+H87+H88+H89+H90</f>
        <v>0</v>
      </c>
      <c r="I85" s="347">
        <f>I86+I87+I88+I89+I90</f>
        <v>0</v>
      </c>
    </row>
    <row r="86" spans="1:9" ht="27" customHeight="1" x14ac:dyDescent="0.3">
      <c r="A86" s="214" t="s">
        <v>114</v>
      </c>
      <c r="B86" s="214"/>
      <c r="C86" s="214"/>
      <c r="D86" s="214"/>
      <c r="E86" s="214"/>
      <c r="F86" s="214"/>
      <c r="G86" s="3">
        <v>78</v>
      </c>
      <c r="H86" s="346"/>
      <c r="I86" s="346"/>
    </row>
    <row r="87" spans="1:9" x14ac:dyDescent="0.3">
      <c r="A87" s="214" t="s">
        <v>115</v>
      </c>
      <c r="B87" s="214"/>
      <c r="C87" s="214"/>
      <c r="D87" s="214"/>
      <c r="E87" s="214"/>
      <c r="F87" s="214"/>
      <c r="G87" s="3">
        <v>79</v>
      </c>
      <c r="H87" s="346"/>
      <c r="I87" s="346"/>
    </row>
    <row r="88" spans="1:9" x14ac:dyDescent="0.3">
      <c r="A88" s="214" t="s">
        <v>116</v>
      </c>
      <c r="B88" s="214"/>
      <c r="C88" s="214"/>
      <c r="D88" s="214"/>
      <c r="E88" s="214"/>
      <c r="F88" s="214"/>
      <c r="G88" s="3">
        <v>80</v>
      </c>
      <c r="H88" s="346"/>
      <c r="I88" s="346"/>
    </row>
    <row r="89" spans="1:9" x14ac:dyDescent="0.3">
      <c r="A89" s="214" t="s">
        <v>117</v>
      </c>
      <c r="B89" s="214"/>
      <c r="C89" s="214"/>
      <c r="D89" s="214"/>
      <c r="E89" s="214"/>
      <c r="F89" s="214"/>
      <c r="G89" s="3">
        <v>81</v>
      </c>
      <c r="H89" s="346"/>
      <c r="I89" s="346"/>
    </row>
    <row r="90" spans="1:9" x14ac:dyDescent="0.3">
      <c r="A90" s="214" t="s">
        <v>118</v>
      </c>
      <c r="B90" s="214"/>
      <c r="C90" s="214"/>
      <c r="D90" s="214"/>
      <c r="E90" s="214"/>
      <c r="F90" s="214"/>
      <c r="G90" s="3">
        <v>82</v>
      </c>
      <c r="H90" s="346"/>
      <c r="I90" s="346"/>
    </row>
    <row r="91" spans="1:9" x14ac:dyDescent="0.3">
      <c r="A91" s="224" t="s">
        <v>119</v>
      </c>
      <c r="B91" s="223"/>
      <c r="C91" s="223"/>
      <c r="D91" s="223"/>
      <c r="E91" s="223"/>
      <c r="F91" s="223"/>
      <c r="G91" s="4">
        <v>83</v>
      </c>
      <c r="H91" s="347">
        <f>H92-H93</f>
        <v>10406198</v>
      </c>
      <c r="I91" s="347">
        <f>I92-I93</f>
        <v>15239315</v>
      </c>
    </row>
    <row r="92" spans="1:9" x14ac:dyDescent="0.3">
      <c r="A92" s="214" t="s">
        <v>120</v>
      </c>
      <c r="B92" s="214"/>
      <c r="C92" s="214"/>
      <c r="D92" s="214"/>
      <c r="E92" s="214"/>
      <c r="F92" s="214"/>
      <c r="G92" s="3">
        <v>84</v>
      </c>
      <c r="H92" s="346">
        <v>10406198</v>
      </c>
      <c r="I92" s="346">
        <f>17763360+480800-2929076-13224-62545</f>
        <v>15239315</v>
      </c>
    </row>
    <row r="93" spans="1:9" x14ac:dyDescent="0.3">
      <c r="A93" s="214" t="s">
        <v>121</v>
      </c>
      <c r="B93" s="214"/>
      <c r="C93" s="214"/>
      <c r="D93" s="214"/>
      <c r="E93" s="214"/>
      <c r="F93" s="214"/>
      <c r="G93" s="3">
        <v>85</v>
      </c>
      <c r="H93" s="346"/>
      <c r="I93" s="346"/>
    </row>
    <row r="94" spans="1:9" x14ac:dyDescent="0.3">
      <c r="A94" s="224" t="s">
        <v>122</v>
      </c>
      <c r="B94" s="223"/>
      <c r="C94" s="223"/>
      <c r="D94" s="223"/>
      <c r="E94" s="223"/>
      <c r="F94" s="223"/>
      <c r="G94" s="4">
        <v>86</v>
      </c>
      <c r="H94" s="347">
        <f>H95-H96</f>
        <v>15142468</v>
      </c>
      <c r="I94" s="347">
        <f>I95-I96</f>
        <v>24437550</v>
      </c>
    </row>
    <row r="95" spans="1:9" x14ac:dyDescent="0.3">
      <c r="A95" s="214" t="s">
        <v>123</v>
      </c>
      <c r="B95" s="214"/>
      <c r="C95" s="214"/>
      <c r="D95" s="214"/>
      <c r="E95" s="214"/>
      <c r="F95" s="214"/>
      <c r="G95" s="3">
        <v>87</v>
      </c>
      <c r="H95" s="346">
        <v>15142468</v>
      </c>
      <c r="I95" s="346">
        <f>24415077+7175+17578-2280</f>
        <v>24437550</v>
      </c>
    </row>
    <row r="96" spans="1:9" x14ac:dyDescent="0.3">
      <c r="A96" s="214" t="s">
        <v>124</v>
      </c>
      <c r="B96" s="214"/>
      <c r="C96" s="214"/>
      <c r="D96" s="214"/>
      <c r="E96" s="214"/>
      <c r="F96" s="214"/>
      <c r="G96" s="3">
        <v>88</v>
      </c>
      <c r="H96" s="346"/>
      <c r="I96" s="346"/>
    </row>
    <row r="97" spans="1:9" x14ac:dyDescent="0.3">
      <c r="A97" s="215" t="s">
        <v>125</v>
      </c>
      <c r="B97" s="215"/>
      <c r="C97" s="215"/>
      <c r="D97" s="215"/>
      <c r="E97" s="215"/>
      <c r="F97" s="215"/>
      <c r="G97" s="3">
        <v>89</v>
      </c>
      <c r="H97" s="346"/>
      <c r="I97" s="346"/>
    </row>
    <row r="98" spans="1:9" x14ac:dyDescent="0.3">
      <c r="A98" s="221" t="s">
        <v>126</v>
      </c>
      <c r="B98" s="222"/>
      <c r="C98" s="222"/>
      <c r="D98" s="222"/>
      <c r="E98" s="222"/>
      <c r="F98" s="222"/>
      <c r="G98" s="4">
        <v>90</v>
      </c>
      <c r="H98" s="347">
        <f>SUM(H99:H104)</f>
        <v>1391889</v>
      </c>
      <c r="I98" s="347">
        <f>SUM(I99:I104)</f>
        <v>1391889</v>
      </c>
    </row>
    <row r="99" spans="1:9" x14ac:dyDescent="0.3">
      <c r="A99" s="214" t="s">
        <v>127</v>
      </c>
      <c r="B99" s="214"/>
      <c r="C99" s="214"/>
      <c r="D99" s="214"/>
      <c r="E99" s="214"/>
      <c r="F99" s="214"/>
      <c r="G99" s="3">
        <v>91</v>
      </c>
      <c r="H99" s="346"/>
      <c r="I99" s="346"/>
    </row>
    <row r="100" spans="1:9" x14ac:dyDescent="0.3">
      <c r="A100" s="214" t="s">
        <v>128</v>
      </c>
      <c r="B100" s="214"/>
      <c r="C100" s="214"/>
      <c r="D100" s="214"/>
      <c r="E100" s="214"/>
      <c r="F100" s="214"/>
      <c r="G100" s="3">
        <v>92</v>
      </c>
      <c r="H100" s="346"/>
      <c r="I100" s="346"/>
    </row>
    <row r="101" spans="1:9" x14ac:dyDescent="0.3">
      <c r="A101" s="214" t="s">
        <v>129</v>
      </c>
      <c r="B101" s="214"/>
      <c r="C101" s="214"/>
      <c r="D101" s="214"/>
      <c r="E101" s="214"/>
      <c r="F101" s="214"/>
      <c r="G101" s="3">
        <v>93</v>
      </c>
      <c r="H101" s="346">
        <v>1300000</v>
      </c>
      <c r="I101" s="346">
        <v>1300000</v>
      </c>
    </row>
    <row r="102" spans="1:9" x14ac:dyDescent="0.3">
      <c r="A102" s="214" t="s">
        <v>130</v>
      </c>
      <c r="B102" s="214"/>
      <c r="C102" s="214"/>
      <c r="D102" s="214"/>
      <c r="E102" s="214"/>
      <c r="F102" s="214"/>
      <c r="G102" s="3">
        <v>94</v>
      </c>
      <c r="H102" s="346"/>
      <c r="I102" s="346"/>
    </row>
    <row r="103" spans="1:9" x14ac:dyDescent="0.3">
      <c r="A103" s="214" t="s">
        <v>131</v>
      </c>
      <c r="B103" s="214"/>
      <c r="C103" s="214"/>
      <c r="D103" s="214"/>
      <c r="E103" s="214"/>
      <c r="F103" s="214"/>
      <c r="G103" s="3">
        <v>95</v>
      </c>
      <c r="H103" s="346"/>
      <c r="I103" s="346"/>
    </row>
    <row r="104" spans="1:9" x14ac:dyDescent="0.3">
      <c r="A104" s="214" t="s">
        <v>132</v>
      </c>
      <c r="B104" s="214"/>
      <c r="C104" s="214"/>
      <c r="D104" s="214"/>
      <c r="E104" s="214"/>
      <c r="F104" s="214"/>
      <c r="G104" s="3">
        <v>96</v>
      </c>
      <c r="H104" s="346">
        <v>91889</v>
      </c>
      <c r="I104" s="346">
        <v>91889</v>
      </c>
    </row>
    <row r="105" spans="1:9" x14ac:dyDescent="0.3">
      <c r="A105" s="221" t="s">
        <v>133</v>
      </c>
      <c r="B105" s="222"/>
      <c r="C105" s="222"/>
      <c r="D105" s="222"/>
      <c r="E105" s="222"/>
      <c r="F105" s="222"/>
      <c r="G105" s="4">
        <v>97</v>
      </c>
      <c r="H105" s="347">
        <f>SUM(H106:H116)</f>
        <v>83370838</v>
      </c>
      <c r="I105" s="347">
        <f>SUM(I106:I116)</f>
        <v>86445884</v>
      </c>
    </row>
    <row r="106" spans="1:9" x14ac:dyDescent="0.3">
      <c r="A106" s="214" t="s">
        <v>134</v>
      </c>
      <c r="B106" s="214"/>
      <c r="C106" s="214"/>
      <c r="D106" s="214"/>
      <c r="E106" s="214"/>
      <c r="F106" s="214"/>
      <c r="G106" s="3">
        <v>98</v>
      </c>
      <c r="H106" s="346"/>
      <c r="I106" s="346"/>
    </row>
    <row r="107" spans="1:9" x14ac:dyDescent="0.3">
      <c r="A107" s="214" t="s">
        <v>135</v>
      </c>
      <c r="B107" s="214"/>
      <c r="C107" s="214"/>
      <c r="D107" s="214"/>
      <c r="E107" s="214"/>
      <c r="F107" s="214"/>
      <c r="G107" s="3">
        <v>99</v>
      </c>
      <c r="H107" s="346"/>
      <c r="I107" s="346"/>
    </row>
    <row r="108" spans="1:9" x14ac:dyDescent="0.3">
      <c r="A108" s="214" t="s">
        <v>136</v>
      </c>
      <c r="B108" s="214"/>
      <c r="C108" s="214"/>
      <c r="D108" s="214"/>
      <c r="E108" s="214"/>
      <c r="F108" s="214"/>
      <c r="G108" s="3">
        <v>100</v>
      </c>
      <c r="H108" s="346"/>
      <c r="I108" s="346"/>
    </row>
    <row r="109" spans="1:9" x14ac:dyDescent="0.3">
      <c r="A109" s="214" t="s">
        <v>137</v>
      </c>
      <c r="B109" s="214"/>
      <c r="C109" s="214"/>
      <c r="D109" s="214"/>
      <c r="E109" s="214"/>
      <c r="F109" s="214"/>
      <c r="G109" s="3">
        <v>101</v>
      </c>
      <c r="H109" s="346">
        <v>7500000</v>
      </c>
      <c r="I109" s="346">
        <v>6500000</v>
      </c>
    </row>
    <row r="110" spans="1:9" x14ac:dyDescent="0.3">
      <c r="A110" s="214" t="s">
        <v>138</v>
      </c>
      <c r="B110" s="214"/>
      <c r="C110" s="214"/>
      <c r="D110" s="214"/>
      <c r="E110" s="214"/>
      <c r="F110" s="214"/>
      <c r="G110" s="3">
        <v>102</v>
      </c>
      <c r="H110" s="346"/>
      <c r="I110" s="346"/>
    </row>
    <row r="111" spans="1:9" x14ac:dyDescent="0.3">
      <c r="A111" s="214" t="s">
        <v>139</v>
      </c>
      <c r="B111" s="214"/>
      <c r="C111" s="214"/>
      <c r="D111" s="214"/>
      <c r="E111" s="214"/>
      <c r="F111" s="214"/>
      <c r="G111" s="3">
        <v>103</v>
      </c>
      <c r="H111" s="346">
        <v>37004222</v>
      </c>
      <c r="I111" s="346">
        <v>43178058</v>
      </c>
    </row>
    <row r="112" spans="1:9" x14ac:dyDescent="0.3">
      <c r="A112" s="214" t="s">
        <v>140</v>
      </c>
      <c r="B112" s="214"/>
      <c r="C112" s="214"/>
      <c r="D112" s="214"/>
      <c r="E112" s="214"/>
      <c r="F112" s="214"/>
      <c r="G112" s="3">
        <v>104</v>
      </c>
      <c r="H112" s="346"/>
      <c r="I112" s="346"/>
    </row>
    <row r="113" spans="1:9" x14ac:dyDescent="0.3">
      <c r="A113" s="214" t="s">
        <v>141</v>
      </c>
      <c r="B113" s="214"/>
      <c r="C113" s="214"/>
      <c r="D113" s="214"/>
      <c r="E113" s="214"/>
      <c r="F113" s="214"/>
      <c r="G113" s="3">
        <v>105</v>
      </c>
      <c r="H113" s="346">
        <v>38866616</v>
      </c>
      <c r="I113" s="346">
        <v>36767826</v>
      </c>
    </row>
    <row r="114" spans="1:9" x14ac:dyDescent="0.3">
      <c r="A114" s="214" t="s">
        <v>142</v>
      </c>
      <c r="B114" s="214"/>
      <c r="C114" s="214"/>
      <c r="D114" s="214"/>
      <c r="E114" s="214"/>
      <c r="F114" s="214"/>
      <c r="G114" s="3">
        <v>106</v>
      </c>
      <c r="H114" s="346"/>
      <c r="I114" s="346"/>
    </row>
    <row r="115" spans="1:9" x14ac:dyDescent="0.3">
      <c r="A115" s="214" t="s">
        <v>143</v>
      </c>
      <c r="B115" s="214"/>
      <c r="C115" s="214"/>
      <c r="D115" s="214"/>
      <c r="E115" s="214"/>
      <c r="F115" s="214"/>
      <c r="G115" s="3">
        <v>107</v>
      </c>
      <c r="H115" s="346"/>
      <c r="I115" s="346"/>
    </row>
    <row r="116" spans="1:9" x14ac:dyDescent="0.3">
      <c r="A116" s="214" t="s">
        <v>144</v>
      </c>
      <c r="B116" s="214"/>
      <c r="C116" s="214"/>
      <c r="D116" s="214"/>
      <c r="E116" s="214"/>
      <c r="F116" s="214"/>
      <c r="G116" s="3">
        <v>108</v>
      </c>
      <c r="H116" s="346"/>
      <c r="I116" s="346"/>
    </row>
    <row r="117" spans="1:9" x14ac:dyDescent="0.3">
      <c r="A117" s="221" t="s">
        <v>145</v>
      </c>
      <c r="B117" s="222"/>
      <c r="C117" s="222"/>
      <c r="D117" s="222"/>
      <c r="E117" s="222"/>
      <c r="F117" s="222"/>
      <c r="G117" s="4">
        <v>109</v>
      </c>
      <c r="H117" s="347">
        <f>SUM(H118:H131)</f>
        <v>8692150</v>
      </c>
      <c r="I117" s="347">
        <f>SUM(I118:I131)</f>
        <v>16531777</v>
      </c>
    </row>
    <row r="118" spans="1:9" x14ac:dyDescent="0.3">
      <c r="A118" s="214" t="s">
        <v>134</v>
      </c>
      <c r="B118" s="214"/>
      <c r="C118" s="214"/>
      <c r="D118" s="214"/>
      <c r="E118" s="214"/>
      <c r="F118" s="214"/>
      <c r="G118" s="3">
        <v>110</v>
      </c>
      <c r="H118" s="346"/>
      <c r="I118" s="346"/>
    </row>
    <row r="119" spans="1:9" x14ac:dyDescent="0.3">
      <c r="A119" s="214" t="s">
        <v>135</v>
      </c>
      <c r="B119" s="214"/>
      <c r="C119" s="214"/>
      <c r="D119" s="214"/>
      <c r="E119" s="214"/>
      <c r="F119" s="214"/>
      <c r="G119" s="3">
        <v>111</v>
      </c>
      <c r="H119" s="346"/>
      <c r="I119" s="346"/>
    </row>
    <row r="120" spans="1:9" x14ac:dyDescent="0.3">
      <c r="A120" s="214" t="s">
        <v>136</v>
      </c>
      <c r="B120" s="214"/>
      <c r="C120" s="214"/>
      <c r="D120" s="214"/>
      <c r="E120" s="214"/>
      <c r="F120" s="214"/>
      <c r="G120" s="3">
        <v>112</v>
      </c>
      <c r="H120" s="346">
        <v>16769</v>
      </c>
      <c r="I120" s="346">
        <v>1464208</v>
      </c>
    </row>
    <row r="121" spans="1:9" ht="21.65" customHeight="1" x14ac:dyDescent="0.3">
      <c r="A121" s="214" t="s">
        <v>137</v>
      </c>
      <c r="B121" s="214"/>
      <c r="C121" s="214"/>
      <c r="D121" s="214"/>
      <c r="E121" s="214"/>
      <c r="F121" s="214"/>
      <c r="G121" s="3">
        <v>113</v>
      </c>
      <c r="H121" s="346">
        <v>1000000</v>
      </c>
      <c r="I121" s="346">
        <v>1250000</v>
      </c>
    </row>
    <row r="122" spans="1:9" x14ac:dyDescent="0.3">
      <c r="A122" s="214" t="s">
        <v>138</v>
      </c>
      <c r="B122" s="214"/>
      <c r="C122" s="214"/>
      <c r="D122" s="214"/>
      <c r="E122" s="214"/>
      <c r="F122" s="214"/>
      <c r="G122" s="3">
        <v>114</v>
      </c>
      <c r="H122" s="346"/>
      <c r="I122" s="346"/>
    </row>
    <row r="123" spans="1:9" x14ac:dyDescent="0.3">
      <c r="A123" s="214" t="s">
        <v>139</v>
      </c>
      <c r="B123" s="214"/>
      <c r="C123" s="214"/>
      <c r="D123" s="214"/>
      <c r="E123" s="214"/>
      <c r="F123" s="214"/>
      <c r="G123" s="3">
        <v>115</v>
      </c>
      <c r="H123" s="346">
        <v>1947591</v>
      </c>
      <c r="I123" s="346">
        <v>4884232</v>
      </c>
    </row>
    <row r="124" spans="1:9" x14ac:dyDescent="0.3">
      <c r="A124" s="214" t="s">
        <v>140</v>
      </c>
      <c r="B124" s="214"/>
      <c r="C124" s="214"/>
      <c r="D124" s="214"/>
      <c r="E124" s="214"/>
      <c r="F124" s="214"/>
      <c r="G124" s="3">
        <v>116</v>
      </c>
      <c r="H124" s="346">
        <v>1707224</v>
      </c>
      <c r="I124" s="346">
        <v>2282183</v>
      </c>
    </row>
    <row r="125" spans="1:9" x14ac:dyDescent="0.3">
      <c r="A125" s="214" t="s">
        <v>141</v>
      </c>
      <c r="B125" s="214"/>
      <c r="C125" s="214"/>
      <c r="D125" s="214"/>
      <c r="E125" s="214"/>
      <c r="F125" s="214"/>
      <c r="G125" s="3">
        <v>117</v>
      </c>
      <c r="H125" s="346">
        <v>3381402</v>
      </c>
      <c r="I125" s="346">
        <f>6069955+41833-2+381+2450+106</f>
        <v>6114723</v>
      </c>
    </row>
    <row r="126" spans="1:9" x14ac:dyDescent="0.3">
      <c r="A126" s="214" t="s">
        <v>142</v>
      </c>
      <c r="B126" s="214"/>
      <c r="C126" s="214"/>
      <c r="D126" s="214"/>
      <c r="E126" s="214"/>
      <c r="F126" s="214"/>
      <c r="G126" s="3">
        <v>118</v>
      </c>
      <c r="H126" s="346"/>
      <c r="I126" s="346"/>
    </row>
    <row r="127" spans="1:9" x14ac:dyDescent="0.3">
      <c r="A127" s="214" t="s">
        <v>146</v>
      </c>
      <c r="B127" s="214"/>
      <c r="C127" s="214"/>
      <c r="D127" s="214"/>
      <c r="E127" s="214"/>
      <c r="F127" s="214"/>
      <c r="G127" s="3">
        <v>119</v>
      </c>
      <c r="H127" s="346">
        <v>228868</v>
      </c>
      <c r="I127" s="346">
        <v>303864</v>
      </c>
    </row>
    <row r="128" spans="1:9" x14ac:dyDescent="0.3">
      <c r="A128" s="214" t="s">
        <v>147</v>
      </c>
      <c r="B128" s="214"/>
      <c r="C128" s="214"/>
      <c r="D128" s="214"/>
      <c r="E128" s="214"/>
      <c r="F128" s="214"/>
      <c r="G128" s="3">
        <v>120</v>
      </c>
      <c r="H128" s="346">
        <v>363572</v>
      </c>
      <c r="I128" s="346">
        <f>145778+28</f>
        <v>145806</v>
      </c>
    </row>
    <row r="129" spans="1:9" x14ac:dyDescent="0.3">
      <c r="A129" s="214" t="s">
        <v>148</v>
      </c>
      <c r="B129" s="214"/>
      <c r="C129" s="214"/>
      <c r="D129" s="214"/>
      <c r="E129" s="214"/>
      <c r="F129" s="214"/>
      <c r="G129" s="3">
        <v>121</v>
      </c>
      <c r="H129" s="346">
        <v>44307</v>
      </c>
      <c r="I129" s="346">
        <v>85178</v>
      </c>
    </row>
    <row r="130" spans="1:9" x14ac:dyDescent="0.3">
      <c r="A130" s="214" t="s">
        <v>149</v>
      </c>
      <c r="B130" s="214"/>
      <c r="C130" s="214"/>
      <c r="D130" s="214"/>
      <c r="E130" s="214"/>
      <c r="F130" s="214"/>
      <c r="G130" s="3">
        <v>122</v>
      </c>
      <c r="H130" s="346"/>
      <c r="I130" s="346"/>
    </row>
    <row r="131" spans="1:9" x14ac:dyDescent="0.3">
      <c r="A131" s="214" t="s">
        <v>150</v>
      </c>
      <c r="B131" s="214"/>
      <c r="C131" s="214"/>
      <c r="D131" s="214"/>
      <c r="E131" s="214"/>
      <c r="F131" s="214"/>
      <c r="G131" s="3">
        <v>123</v>
      </c>
      <c r="H131" s="346">
        <v>2417</v>
      </c>
      <c r="I131" s="346">
        <v>1583</v>
      </c>
    </row>
    <row r="132" spans="1:9" x14ac:dyDescent="0.3">
      <c r="A132" s="226" t="s">
        <v>151</v>
      </c>
      <c r="B132" s="226"/>
      <c r="C132" s="226"/>
      <c r="D132" s="226"/>
      <c r="E132" s="226"/>
      <c r="F132" s="226"/>
      <c r="G132" s="3">
        <v>124</v>
      </c>
      <c r="H132" s="346"/>
      <c r="I132" s="346"/>
    </row>
    <row r="133" spans="1:9" x14ac:dyDescent="0.3">
      <c r="A133" s="221" t="s">
        <v>152</v>
      </c>
      <c r="B133" s="222"/>
      <c r="C133" s="222"/>
      <c r="D133" s="222"/>
      <c r="E133" s="222"/>
      <c r="F133" s="222"/>
      <c r="G133" s="4">
        <v>125</v>
      </c>
      <c r="H133" s="347">
        <f>H75+H98+H105+H117+H132</f>
        <v>303374857</v>
      </c>
      <c r="I133" s="347">
        <f>I75+I98+I105+I117+I132</f>
        <v>325613837</v>
      </c>
    </row>
    <row r="134" spans="1:9" x14ac:dyDescent="0.3">
      <c r="A134" s="225" t="s">
        <v>153</v>
      </c>
      <c r="B134" s="225"/>
      <c r="C134" s="225"/>
      <c r="D134" s="225"/>
      <c r="E134" s="225"/>
      <c r="F134" s="225"/>
      <c r="G134" s="6">
        <v>126</v>
      </c>
      <c r="H134" s="346"/>
      <c r="I134" s="346">
        <v>80421294</v>
      </c>
    </row>
  </sheetData>
  <mergeCells count="134">
    <mergeCell ref="A133:F133"/>
    <mergeCell ref="A134:F134"/>
    <mergeCell ref="A127:F127"/>
    <mergeCell ref="A128:F128"/>
    <mergeCell ref="A129:F129"/>
    <mergeCell ref="A130:F130"/>
    <mergeCell ref="A131:F131"/>
    <mergeCell ref="A132:F132"/>
    <mergeCell ref="A121:F121"/>
    <mergeCell ref="A122:F122"/>
    <mergeCell ref="A123:F123"/>
    <mergeCell ref="A124:F124"/>
    <mergeCell ref="A125:F125"/>
    <mergeCell ref="A126:F126"/>
    <mergeCell ref="A115:F115"/>
    <mergeCell ref="A116:F116"/>
    <mergeCell ref="A117:F117"/>
    <mergeCell ref="A118:F118"/>
    <mergeCell ref="A119:F119"/>
    <mergeCell ref="A120:F120"/>
    <mergeCell ref="A109:F109"/>
    <mergeCell ref="A110:F110"/>
    <mergeCell ref="A111:F111"/>
    <mergeCell ref="A112:F112"/>
    <mergeCell ref="A113:F113"/>
    <mergeCell ref="A114:F114"/>
    <mergeCell ref="A103:F103"/>
    <mergeCell ref="A104:F104"/>
    <mergeCell ref="A105:F105"/>
    <mergeCell ref="A106:F106"/>
    <mergeCell ref="A107:F107"/>
    <mergeCell ref="A108:F108"/>
    <mergeCell ref="A97:F97"/>
    <mergeCell ref="A98:F98"/>
    <mergeCell ref="A99:F99"/>
    <mergeCell ref="A100:F100"/>
    <mergeCell ref="A101:F101"/>
    <mergeCell ref="A102:F102"/>
    <mergeCell ref="A91:F91"/>
    <mergeCell ref="A92:F92"/>
    <mergeCell ref="A93:F93"/>
    <mergeCell ref="A94:F94"/>
    <mergeCell ref="A95:F95"/>
    <mergeCell ref="A96:F96"/>
    <mergeCell ref="A85:F85"/>
    <mergeCell ref="A86:F86"/>
    <mergeCell ref="A87:F87"/>
    <mergeCell ref="A88:F88"/>
    <mergeCell ref="A89:F89"/>
    <mergeCell ref="A90:F90"/>
    <mergeCell ref="A79:F79"/>
    <mergeCell ref="A80:F80"/>
    <mergeCell ref="A81:F81"/>
    <mergeCell ref="A82:F82"/>
    <mergeCell ref="A83:F83"/>
    <mergeCell ref="A84:F84"/>
    <mergeCell ref="A73:F73"/>
    <mergeCell ref="A74:I74"/>
    <mergeCell ref="A75:F75"/>
    <mergeCell ref="A76:F76"/>
    <mergeCell ref="A77:F77"/>
    <mergeCell ref="A78:F78"/>
    <mergeCell ref="A67:F67"/>
    <mergeCell ref="A68:F68"/>
    <mergeCell ref="A69:F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3:F13"/>
    <mergeCell ref="A14:F14"/>
    <mergeCell ref="A15:F15"/>
    <mergeCell ref="A16:F16"/>
    <mergeCell ref="A17:F17"/>
    <mergeCell ref="A18:F18"/>
    <mergeCell ref="A7:I7"/>
    <mergeCell ref="A8:F8"/>
    <mergeCell ref="A9:F9"/>
    <mergeCell ref="A10:F10"/>
    <mergeCell ref="A11:F11"/>
    <mergeCell ref="A12:F12"/>
    <mergeCell ref="A1:I1"/>
    <mergeCell ref="A2:I2"/>
    <mergeCell ref="A3:I3"/>
    <mergeCell ref="A4:I4"/>
    <mergeCell ref="A5:F5"/>
    <mergeCell ref="A6:F6"/>
  </mergeCells>
  <dataValidations count="2">
    <dataValidation type="whole" operator="greaterThanOrEqual" allowBlank="1" showInputMessage="1" showErrorMessage="1" errorTitle="Pogrešan upis" error="Dopušten je upis samo pozitivnih cjelobrojnih vrijednosti ili nule" sqref="H8:I73 H98:I134 H95:I96 H92:I93 H76:I76" xr:uid="{5362772F-BE2F-4A4A-B885-62E9F11D1666}">
      <formula1>0</formula1>
    </dataValidation>
    <dataValidation type="whole" operator="notEqual" allowBlank="1" showInputMessage="1" showErrorMessage="1" errorTitle="Pogrešan upis" error="Dopušten je upis samo cjelobrojnih vrijednosti ili nule" sqref="H75:I75 H97:I97 H94:I94 H77:I91" xr:uid="{A996A078-2141-4F2E-A9EE-8E0BF4BBD6D1}">
      <formula1>999999999999</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13"/>
  <sheetViews>
    <sheetView tabSelected="1" view="pageBreakPreview" topLeftCell="A73" zoomScale="80" zoomScaleNormal="70" zoomScaleSheetLayoutView="80" workbookViewId="0">
      <selection activeCell="M5" sqref="M5"/>
    </sheetView>
  </sheetViews>
  <sheetFormatPr defaultRowHeight="14" x14ac:dyDescent="0.3"/>
  <cols>
    <col min="6" max="6" width="23.3984375" customWidth="1"/>
    <col min="8" max="11" width="10.5" customWidth="1"/>
    <col min="12" max="12" width="16.296875" bestFit="1" customWidth="1"/>
  </cols>
  <sheetData>
    <row r="1" spans="1:12" x14ac:dyDescent="0.3">
      <c r="A1" s="227" t="s">
        <v>154</v>
      </c>
      <c r="B1" s="195"/>
      <c r="C1" s="195"/>
      <c r="D1" s="195"/>
      <c r="E1" s="195"/>
      <c r="F1" s="195"/>
      <c r="G1" s="195"/>
      <c r="H1" s="195"/>
      <c r="I1" s="195"/>
    </row>
    <row r="2" spans="1:12" x14ac:dyDescent="0.3">
      <c r="A2" s="228" t="s">
        <v>486</v>
      </c>
      <c r="B2" s="197"/>
      <c r="C2" s="197"/>
      <c r="D2" s="197"/>
      <c r="E2" s="197"/>
      <c r="F2" s="197"/>
      <c r="G2" s="197"/>
      <c r="H2" s="197"/>
      <c r="I2" s="197"/>
    </row>
    <row r="3" spans="1:12" x14ac:dyDescent="0.3">
      <c r="A3" s="251" t="s">
        <v>41</v>
      </c>
      <c r="B3" s="251"/>
      <c r="C3" s="251"/>
      <c r="D3" s="251"/>
      <c r="E3" s="251"/>
      <c r="F3" s="251"/>
      <c r="G3" s="251"/>
      <c r="H3" s="251"/>
      <c r="I3" s="251"/>
      <c r="J3" s="251"/>
      <c r="K3" s="251"/>
    </row>
    <row r="4" spans="1:12" ht="14.4" customHeight="1" x14ac:dyDescent="0.3">
      <c r="A4" s="249" t="s">
        <v>474</v>
      </c>
      <c r="B4" s="250"/>
      <c r="C4" s="250"/>
      <c r="D4" s="250"/>
      <c r="E4" s="250"/>
      <c r="F4" s="250"/>
      <c r="G4" s="250"/>
      <c r="H4" s="250"/>
      <c r="I4" s="250"/>
      <c r="J4" s="250"/>
      <c r="K4" s="250"/>
    </row>
    <row r="5" spans="1:12" ht="31.85" customHeight="1" thickBot="1" x14ac:dyDescent="0.35">
      <c r="A5" s="252" t="s">
        <v>42</v>
      </c>
      <c r="B5" s="253"/>
      <c r="C5" s="253"/>
      <c r="D5" s="253"/>
      <c r="E5" s="253"/>
      <c r="F5" s="254"/>
      <c r="G5" s="7" t="s">
        <v>155</v>
      </c>
      <c r="H5" s="247" t="s">
        <v>461</v>
      </c>
      <c r="I5" s="248"/>
      <c r="J5" s="247" t="s">
        <v>462</v>
      </c>
      <c r="K5" s="248"/>
    </row>
    <row r="6" spans="1:12" ht="14.55" thickBot="1" x14ac:dyDescent="0.35">
      <c r="A6" s="255"/>
      <c r="B6" s="256"/>
      <c r="C6" s="256"/>
      <c r="D6" s="256"/>
      <c r="E6" s="256"/>
      <c r="F6" s="257"/>
      <c r="G6" s="101"/>
      <c r="H6" s="102" t="s">
        <v>459</v>
      </c>
      <c r="I6" s="102" t="s">
        <v>460</v>
      </c>
      <c r="J6" s="102" t="s">
        <v>459</v>
      </c>
      <c r="K6" s="102" t="s">
        <v>460</v>
      </c>
    </row>
    <row r="7" spans="1:12" x14ac:dyDescent="0.3">
      <c r="A7" s="229">
        <v>1</v>
      </c>
      <c r="B7" s="206"/>
      <c r="C7" s="206"/>
      <c r="D7" s="206"/>
      <c r="E7" s="206"/>
      <c r="F7" s="207"/>
      <c r="G7" s="9">
        <v>2</v>
      </c>
      <c r="H7" s="10">
        <v>3</v>
      </c>
      <c r="I7" s="10">
        <v>4</v>
      </c>
      <c r="J7" s="10">
        <v>3</v>
      </c>
      <c r="K7" s="10">
        <v>4</v>
      </c>
    </row>
    <row r="8" spans="1:12" x14ac:dyDescent="0.3">
      <c r="A8" s="232" t="s">
        <v>476</v>
      </c>
      <c r="B8" s="233"/>
      <c r="C8" s="233"/>
      <c r="D8" s="233"/>
      <c r="E8" s="233"/>
      <c r="F8" s="233"/>
      <c r="G8" s="11">
        <v>127</v>
      </c>
      <c r="H8" s="350">
        <f>SUM(H9:H13)</f>
        <v>54935877</v>
      </c>
      <c r="I8" s="350">
        <f>SUM(I9:I13)</f>
        <v>1013265</v>
      </c>
      <c r="J8" s="350">
        <f>SUM(J9:J13)</f>
        <v>73790485</v>
      </c>
      <c r="K8" s="350">
        <f>SUM(K9:K13)</f>
        <v>2395544</v>
      </c>
    </row>
    <row r="9" spans="1:12" x14ac:dyDescent="0.3">
      <c r="A9" s="214" t="s">
        <v>158</v>
      </c>
      <c r="B9" s="214"/>
      <c r="C9" s="214"/>
      <c r="D9" s="214"/>
      <c r="E9" s="214"/>
      <c r="F9" s="214"/>
      <c r="G9" s="3">
        <v>128</v>
      </c>
      <c r="H9" s="346"/>
      <c r="I9" s="346"/>
      <c r="J9" s="346"/>
      <c r="K9" s="346"/>
    </row>
    <row r="10" spans="1:12" x14ac:dyDescent="0.3">
      <c r="A10" s="214" t="s">
        <v>159</v>
      </c>
      <c r="B10" s="214"/>
      <c r="C10" s="214"/>
      <c r="D10" s="214"/>
      <c r="E10" s="214"/>
      <c r="F10" s="214"/>
      <c r="G10" s="3">
        <v>129</v>
      </c>
      <c r="H10" s="346">
        <f>7890+48704801+3100200+82127+194393+100000+83436</f>
        <v>52272847</v>
      </c>
      <c r="I10" s="346">
        <v>1013265</v>
      </c>
      <c r="J10" s="346">
        <f>29+67902754+3800+4236561+35614+226832+102659</f>
        <v>72508249</v>
      </c>
      <c r="K10" s="346">
        <v>1580960</v>
      </c>
    </row>
    <row r="11" spans="1:12" x14ac:dyDescent="0.3">
      <c r="A11" s="214" t="s">
        <v>160</v>
      </c>
      <c r="B11" s="214"/>
      <c r="C11" s="214"/>
      <c r="D11" s="214"/>
      <c r="E11" s="214"/>
      <c r="F11" s="214"/>
      <c r="G11" s="3">
        <v>130</v>
      </c>
      <c r="H11" s="346">
        <v>224896</v>
      </c>
      <c r="I11" s="346"/>
      <c r="J11" s="346">
        <f>107391+18941</f>
        <v>126332</v>
      </c>
      <c r="K11" s="346">
        <f>107391+5377</f>
        <v>112768</v>
      </c>
    </row>
    <row r="12" spans="1:12" x14ac:dyDescent="0.3">
      <c r="A12" s="214" t="s">
        <v>161</v>
      </c>
      <c r="B12" s="214"/>
      <c r="C12" s="214"/>
      <c r="D12" s="214"/>
      <c r="E12" s="214"/>
      <c r="F12" s="214"/>
      <c r="G12" s="3">
        <v>131</v>
      </c>
      <c r="H12" s="346"/>
      <c r="I12" s="346"/>
      <c r="J12" s="346"/>
      <c r="K12" s="346"/>
    </row>
    <row r="13" spans="1:12" x14ac:dyDescent="0.3">
      <c r="A13" s="214" t="s">
        <v>162</v>
      </c>
      <c r="B13" s="214"/>
      <c r="C13" s="214"/>
      <c r="D13" s="214"/>
      <c r="E13" s="214"/>
      <c r="F13" s="214"/>
      <c r="G13" s="3">
        <v>132</v>
      </c>
      <c r="H13" s="346">
        <f>1469844+1200+934663+28481+3946</f>
        <v>2438134</v>
      </c>
      <c r="I13" s="346"/>
      <c r="J13" s="346">
        <f>1397643-242882+24+1119</f>
        <v>1155904</v>
      </c>
      <c r="K13" s="346">
        <f>595149+106578+89</f>
        <v>701816</v>
      </c>
    </row>
    <row r="14" spans="1:12" x14ac:dyDescent="0.3">
      <c r="A14" s="221" t="s">
        <v>163</v>
      </c>
      <c r="B14" s="222"/>
      <c r="C14" s="222"/>
      <c r="D14" s="222"/>
      <c r="E14" s="222"/>
      <c r="F14" s="222"/>
      <c r="G14" s="4">
        <v>133</v>
      </c>
      <c r="H14" s="350">
        <f>H15+H16+H20+H24+H25+H26+H29+H36</f>
        <v>40189060</v>
      </c>
      <c r="I14" s="350">
        <f>I15+I16+I20+I24+I25+I26+I29+I36</f>
        <v>10803747</v>
      </c>
      <c r="J14" s="350">
        <f>J15+J16+J20+J24+J25+J26+J29+J36</f>
        <v>48764598</v>
      </c>
      <c r="K14" s="350">
        <f>K15+K16+K20+K24+K25+K26+K29+K36</f>
        <v>10716947</v>
      </c>
      <c r="L14" s="47"/>
    </row>
    <row r="15" spans="1:12" x14ac:dyDescent="0.3">
      <c r="A15" s="214" t="s">
        <v>164</v>
      </c>
      <c r="B15" s="214"/>
      <c r="C15" s="214"/>
      <c r="D15" s="214"/>
      <c r="E15" s="214"/>
      <c r="F15" s="214"/>
      <c r="G15" s="3">
        <v>134</v>
      </c>
      <c r="H15" s="351"/>
      <c r="I15" s="351"/>
      <c r="J15" s="351"/>
      <c r="K15" s="351"/>
    </row>
    <row r="16" spans="1:12" x14ac:dyDescent="0.3">
      <c r="A16" s="230" t="s">
        <v>165</v>
      </c>
      <c r="B16" s="230"/>
      <c r="C16" s="230"/>
      <c r="D16" s="230"/>
      <c r="E16" s="230"/>
      <c r="F16" s="230"/>
      <c r="G16" s="4">
        <v>135</v>
      </c>
      <c r="H16" s="350">
        <f>SUM(H17:H19)</f>
        <v>15761699</v>
      </c>
      <c r="I16" s="350">
        <f>SUM(I17:I19)</f>
        <v>3660256</v>
      </c>
      <c r="J16" s="350">
        <f>SUM(J17:J19)</f>
        <v>24230404</v>
      </c>
      <c r="K16" s="350">
        <f>SUM(K17:K19)</f>
        <v>4960573</v>
      </c>
    </row>
    <row r="17" spans="1:11" x14ac:dyDescent="0.3">
      <c r="A17" s="231" t="s">
        <v>166</v>
      </c>
      <c r="B17" s="231"/>
      <c r="C17" s="231"/>
      <c r="D17" s="231"/>
      <c r="E17" s="231"/>
      <c r="F17" s="231"/>
      <c r="G17" s="3">
        <v>136</v>
      </c>
      <c r="H17" s="346">
        <f>3091251+20751-57349</f>
        <v>3054653</v>
      </c>
      <c r="I17" s="346">
        <v>704190</v>
      </c>
      <c r="J17" s="346">
        <v>4499836</v>
      </c>
      <c r="K17" s="346">
        <f>4499836-4096713</f>
        <v>403123</v>
      </c>
    </row>
    <row r="18" spans="1:11" x14ac:dyDescent="0.3">
      <c r="A18" s="231" t="s">
        <v>167</v>
      </c>
      <c r="B18" s="231"/>
      <c r="C18" s="231"/>
      <c r="D18" s="231"/>
      <c r="E18" s="231"/>
      <c r="F18" s="231"/>
      <c r="G18" s="3">
        <v>137</v>
      </c>
      <c r="H18" s="346">
        <f>68962+63508</f>
        <v>132470</v>
      </c>
      <c r="I18" s="346">
        <v>528</v>
      </c>
      <c r="J18" s="346">
        <f>32432+76269</f>
        <v>108701</v>
      </c>
      <c r="K18" s="346">
        <v>5723</v>
      </c>
    </row>
    <row r="19" spans="1:11" x14ac:dyDescent="0.3">
      <c r="A19" s="231" t="s">
        <v>168</v>
      </c>
      <c r="B19" s="231"/>
      <c r="C19" s="231"/>
      <c r="D19" s="231"/>
      <c r="E19" s="231"/>
      <c r="F19" s="231"/>
      <c r="G19" s="3">
        <v>138</v>
      </c>
      <c r="H19" s="346">
        <f>12653656+177956+15830+1000-273866</f>
        <v>12574576</v>
      </c>
      <c r="I19" s="346">
        <f>12574576-9619038</f>
        <v>2955538</v>
      </c>
      <c r="J19" s="346">
        <f>19660609+14488+45266+1000-84468-15028</f>
        <v>19621867</v>
      </c>
      <c r="K19" s="346">
        <v>4551727</v>
      </c>
    </row>
    <row r="20" spans="1:11" x14ac:dyDescent="0.3">
      <c r="A20" s="230" t="s">
        <v>169</v>
      </c>
      <c r="B20" s="230"/>
      <c r="C20" s="230"/>
      <c r="D20" s="230"/>
      <c r="E20" s="230"/>
      <c r="F20" s="230"/>
      <c r="G20" s="4">
        <v>139</v>
      </c>
      <c r="H20" s="350">
        <f>SUM(H21:H23)</f>
        <v>3956171</v>
      </c>
      <c r="I20" s="350">
        <f>SUM(I21:I23)</f>
        <v>1141305</v>
      </c>
      <c r="J20" s="350">
        <f>SUM(J21:J23)</f>
        <v>4723101</v>
      </c>
      <c r="K20" s="350">
        <f>SUM(K21:K23)</f>
        <v>1285427</v>
      </c>
    </row>
    <row r="21" spans="1:11" x14ac:dyDescent="0.3">
      <c r="A21" s="231" t="s">
        <v>463</v>
      </c>
      <c r="B21" s="231"/>
      <c r="C21" s="231"/>
      <c r="D21" s="231"/>
      <c r="E21" s="231"/>
      <c r="F21" s="231"/>
      <c r="G21" s="3">
        <v>140</v>
      </c>
      <c r="H21" s="346">
        <f>2143985+223713+12000</f>
        <v>2379698</v>
      </c>
      <c r="I21" s="346">
        <f>2379698-1682917</f>
        <v>696781</v>
      </c>
      <c r="J21" s="346">
        <f>2945614+476+6429</f>
        <v>2952519</v>
      </c>
      <c r="K21" s="346">
        <f>2945614-2114824</f>
        <v>830790</v>
      </c>
    </row>
    <row r="22" spans="1:11" x14ac:dyDescent="0.3">
      <c r="A22" s="231" t="s">
        <v>170</v>
      </c>
      <c r="B22" s="231"/>
      <c r="C22" s="231"/>
      <c r="D22" s="231"/>
      <c r="E22" s="231"/>
      <c r="F22" s="231"/>
      <c r="G22" s="3">
        <v>141</v>
      </c>
      <c r="H22" s="346">
        <f>903353+104599+6797</f>
        <v>1014749</v>
      </c>
      <c r="I22" s="346">
        <f>1014749-731475</f>
        <v>283274</v>
      </c>
      <c r="J22" s="346">
        <f>1129340+270+3641</f>
        <v>1133251</v>
      </c>
      <c r="K22" s="346">
        <f>1129340-840393</f>
        <v>288947</v>
      </c>
    </row>
    <row r="23" spans="1:11" x14ac:dyDescent="0.3">
      <c r="A23" s="231" t="s">
        <v>171</v>
      </c>
      <c r="B23" s="231"/>
      <c r="C23" s="231"/>
      <c r="D23" s="231"/>
      <c r="E23" s="231"/>
      <c r="F23" s="231"/>
      <c r="G23" s="3">
        <v>142</v>
      </c>
      <c r="H23" s="346">
        <f>508332+50290+3102</f>
        <v>561724</v>
      </c>
      <c r="I23" s="346">
        <f>561724-400474</f>
        <v>161250</v>
      </c>
      <c r="J23" s="346">
        <f>635546+123+1662</f>
        <v>637331</v>
      </c>
      <c r="K23" s="346">
        <f>635546-469856</f>
        <v>165690</v>
      </c>
    </row>
    <row r="24" spans="1:11" x14ac:dyDescent="0.3">
      <c r="A24" s="214" t="s">
        <v>172</v>
      </c>
      <c r="B24" s="214"/>
      <c r="C24" s="214"/>
      <c r="D24" s="214"/>
      <c r="E24" s="214"/>
      <c r="F24" s="214"/>
      <c r="G24" s="3">
        <v>143</v>
      </c>
      <c r="H24" s="346">
        <f>16035372+79120+30051</f>
        <v>16144543</v>
      </c>
      <c r="I24" s="346">
        <f>16144543-12137158</f>
        <v>4007385</v>
      </c>
      <c r="J24" s="346">
        <f>15374424+3550</f>
        <v>15377974</v>
      </c>
      <c r="K24" s="346">
        <v>3682028</v>
      </c>
    </row>
    <row r="25" spans="1:11" x14ac:dyDescent="0.3">
      <c r="A25" s="214" t="s">
        <v>173</v>
      </c>
      <c r="B25" s="214"/>
      <c r="C25" s="214"/>
      <c r="D25" s="214"/>
      <c r="E25" s="214"/>
      <c r="F25" s="214"/>
      <c r="G25" s="3">
        <v>144</v>
      </c>
      <c r="H25" s="346">
        <f>2229302+48155+6004+1733+4802+198</f>
        <v>2290194</v>
      </c>
      <c r="I25" s="346">
        <f>2290194-1756275+34323</f>
        <v>568242</v>
      </c>
      <c r="J25" s="346">
        <f>3052883+3001+6003+1280</f>
        <v>3063167</v>
      </c>
      <c r="K25" s="346">
        <v>687204</v>
      </c>
    </row>
    <row r="26" spans="1:11" x14ac:dyDescent="0.3">
      <c r="A26" s="230" t="s">
        <v>174</v>
      </c>
      <c r="B26" s="230"/>
      <c r="C26" s="230"/>
      <c r="D26" s="230"/>
      <c r="E26" s="230"/>
      <c r="F26" s="230"/>
      <c r="G26" s="4">
        <v>145</v>
      </c>
      <c r="H26" s="350">
        <f>H27+H28</f>
        <v>0</v>
      </c>
      <c r="I26" s="350">
        <f>I27+I28</f>
        <v>0</v>
      </c>
      <c r="J26" s="350">
        <f>J27+J28</f>
        <v>0</v>
      </c>
      <c r="K26" s="350">
        <f>K27+K28</f>
        <v>0</v>
      </c>
    </row>
    <row r="27" spans="1:11" x14ac:dyDescent="0.3">
      <c r="A27" s="231" t="s">
        <v>175</v>
      </c>
      <c r="B27" s="231"/>
      <c r="C27" s="231"/>
      <c r="D27" s="231"/>
      <c r="E27" s="231"/>
      <c r="F27" s="231"/>
      <c r="G27" s="3">
        <v>146</v>
      </c>
      <c r="H27" s="346"/>
      <c r="I27" s="346"/>
      <c r="J27" s="346"/>
      <c r="K27" s="346"/>
    </row>
    <row r="28" spans="1:11" x14ac:dyDescent="0.3">
      <c r="A28" s="231" t="s">
        <v>176</v>
      </c>
      <c r="B28" s="231"/>
      <c r="C28" s="231"/>
      <c r="D28" s="231"/>
      <c r="E28" s="231"/>
      <c r="F28" s="231"/>
      <c r="G28" s="3">
        <v>147</v>
      </c>
      <c r="H28" s="346"/>
      <c r="I28" s="346"/>
      <c r="J28" s="346"/>
      <c r="K28" s="346"/>
    </row>
    <row r="29" spans="1:11" x14ac:dyDescent="0.3">
      <c r="A29" s="230" t="s">
        <v>177</v>
      </c>
      <c r="B29" s="230"/>
      <c r="C29" s="230"/>
      <c r="D29" s="230"/>
      <c r="E29" s="230"/>
      <c r="F29" s="230"/>
      <c r="G29" s="4">
        <v>148</v>
      </c>
      <c r="H29" s="350">
        <f>SUM(H30:H35)</f>
        <v>1265477</v>
      </c>
      <c r="I29" s="350">
        <f>SUM(I30:I35)</f>
        <v>1265477</v>
      </c>
      <c r="J29" s="350">
        <f>SUM(J30:J35)</f>
        <v>0</v>
      </c>
      <c r="K29" s="350">
        <f>SUM(K30:K35)</f>
        <v>0</v>
      </c>
    </row>
    <row r="30" spans="1:11" x14ac:dyDescent="0.3">
      <c r="A30" s="231" t="s">
        <v>178</v>
      </c>
      <c r="B30" s="231"/>
      <c r="C30" s="231"/>
      <c r="D30" s="231"/>
      <c r="E30" s="231"/>
      <c r="F30" s="231"/>
      <c r="G30" s="3">
        <v>149</v>
      </c>
      <c r="H30" s="346">
        <v>66090</v>
      </c>
      <c r="I30" s="346">
        <v>66090</v>
      </c>
      <c r="J30" s="346"/>
      <c r="K30" s="346"/>
    </row>
    <row r="31" spans="1:11" x14ac:dyDescent="0.3">
      <c r="A31" s="231" t="s">
        <v>179</v>
      </c>
      <c r="B31" s="231"/>
      <c r="C31" s="231"/>
      <c r="D31" s="231"/>
      <c r="E31" s="231"/>
      <c r="F31" s="231"/>
      <c r="G31" s="3">
        <v>150</v>
      </c>
      <c r="H31" s="346"/>
      <c r="I31" s="346"/>
      <c r="J31" s="346"/>
      <c r="K31" s="346"/>
    </row>
    <row r="32" spans="1:11" x14ac:dyDescent="0.3">
      <c r="A32" s="231" t="s">
        <v>180</v>
      </c>
      <c r="B32" s="231"/>
      <c r="C32" s="231"/>
      <c r="D32" s="231"/>
      <c r="E32" s="231"/>
      <c r="F32" s="231"/>
      <c r="G32" s="3">
        <v>151</v>
      </c>
      <c r="H32" s="346">
        <f>1769015-569628</f>
        <v>1199387</v>
      </c>
      <c r="I32" s="346">
        <v>1199387</v>
      </c>
      <c r="J32" s="346"/>
      <c r="K32" s="346"/>
    </row>
    <row r="33" spans="1:11" x14ac:dyDescent="0.3">
      <c r="A33" s="231" t="s">
        <v>181</v>
      </c>
      <c r="B33" s="231"/>
      <c r="C33" s="231"/>
      <c r="D33" s="231"/>
      <c r="E33" s="231"/>
      <c r="F33" s="231"/>
      <c r="G33" s="3">
        <v>152</v>
      </c>
      <c r="H33" s="346"/>
      <c r="I33" s="346"/>
      <c r="J33" s="346"/>
      <c r="K33" s="346"/>
    </row>
    <row r="34" spans="1:11" x14ac:dyDescent="0.3">
      <c r="A34" s="231" t="s">
        <v>182</v>
      </c>
      <c r="B34" s="231"/>
      <c r="C34" s="231"/>
      <c r="D34" s="231"/>
      <c r="E34" s="231"/>
      <c r="F34" s="231"/>
      <c r="G34" s="3">
        <v>153</v>
      </c>
      <c r="H34" s="346"/>
      <c r="I34" s="346"/>
      <c r="J34" s="346"/>
      <c r="K34" s="346"/>
    </row>
    <row r="35" spans="1:11" x14ac:dyDescent="0.3">
      <c r="A35" s="231" t="s">
        <v>183</v>
      </c>
      <c r="B35" s="231"/>
      <c r="C35" s="231"/>
      <c r="D35" s="231"/>
      <c r="E35" s="231"/>
      <c r="F35" s="231"/>
      <c r="G35" s="3">
        <v>154</v>
      </c>
      <c r="H35" s="346"/>
      <c r="I35" s="346"/>
      <c r="J35" s="346"/>
      <c r="K35" s="346"/>
    </row>
    <row r="36" spans="1:11" x14ac:dyDescent="0.3">
      <c r="A36" s="214" t="s">
        <v>184</v>
      </c>
      <c r="B36" s="214"/>
      <c r="C36" s="214"/>
      <c r="D36" s="214"/>
      <c r="E36" s="214"/>
      <c r="F36" s="214"/>
      <c r="G36" s="3">
        <v>155</v>
      </c>
      <c r="H36" s="346">
        <f>737611+33365</f>
        <v>770976</v>
      </c>
      <c r="I36" s="346">
        <f>770976-609894</f>
        <v>161082</v>
      </c>
      <c r="J36" s="346">
        <f>1185798+181239+332+1119+1464</f>
        <v>1369952</v>
      </c>
      <c r="K36" s="346">
        <v>101715</v>
      </c>
    </row>
    <row r="37" spans="1:11" x14ac:dyDescent="0.3">
      <c r="A37" s="221" t="s">
        <v>477</v>
      </c>
      <c r="B37" s="222"/>
      <c r="C37" s="222"/>
      <c r="D37" s="222"/>
      <c r="E37" s="222"/>
      <c r="F37" s="222"/>
      <c r="G37" s="4">
        <v>156</v>
      </c>
      <c r="H37" s="350">
        <f>SUM(H38:H47)</f>
        <v>2226949</v>
      </c>
      <c r="I37" s="350">
        <f>SUM(I38:I47)</f>
        <v>0</v>
      </c>
      <c r="J37" s="350">
        <f>SUM(J38:J47)</f>
        <v>3456863</v>
      </c>
      <c r="K37" s="350">
        <f>SUM(K38:K47)</f>
        <v>9775</v>
      </c>
    </row>
    <row r="38" spans="1:11" x14ac:dyDescent="0.3">
      <c r="A38" s="214" t="s">
        <v>185</v>
      </c>
      <c r="B38" s="214"/>
      <c r="C38" s="214"/>
      <c r="D38" s="214"/>
      <c r="E38" s="214"/>
      <c r="F38" s="214"/>
      <c r="G38" s="3">
        <v>157</v>
      </c>
      <c r="H38" s="351"/>
      <c r="I38" s="351"/>
      <c r="J38" s="351"/>
      <c r="K38" s="351"/>
    </row>
    <row r="39" spans="1:11" ht="24.05" customHeight="1" x14ac:dyDescent="0.3">
      <c r="A39" s="214" t="s">
        <v>186</v>
      </c>
      <c r="B39" s="214"/>
      <c r="C39" s="214"/>
      <c r="D39" s="214"/>
      <c r="E39" s="214"/>
      <c r="F39" s="214"/>
      <c r="G39" s="3">
        <v>158</v>
      </c>
      <c r="H39" s="351"/>
      <c r="I39" s="351"/>
      <c r="J39" s="351"/>
      <c r="K39" s="351"/>
    </row>
    <row r="40" spans="1:11" ht="21.65" customHeight="1" x14ac:dyDescent="0.3">
      <c r="A40" s="214" t="s">
        <v>187</v>
      </c>
      <c r="B40" s="214"/>
      <c r="C40" s="214"/>
      <c r="D40" s="214"/>
      <c r="E40" s="214"/>
      <c r="F40" s="214"/>
      <c r="G40" s="3">
        <v>159</v>
      </c>
      <c r="H40" s="351"/>
      <c r="I40" s="351"/>
      <c r="J40" s="351"/>
      <c r="K40" s="351"/>
    </row>
    <row r="41" spans="1:11" x14ac:dyDescent="0.3">
      <c r="A41" s="214" t="s">
        <v>188</v>
      </c>
      <c r="B41" s="214"/>
      <c r="C41" s="214"/>
      <c r="D41" s="214"/>
      <c r="E41" s="214"/>
      <c r="F41" s="214"/>
      <c r="G41" s="3">
        <v>160</v>
      </c>
      <c r="H41" s="351"/>
      <c r="I41" s="351"/>
      <c r="J41" s="351"/>
      <c r="K41" s="351"/>
    </row>
    <row r="42" spans="1:11" ht="20.95" customHeight="1" x14ac:dyDescent="0.3">
      <c r="A42" s="214" t="s">
        <v>189</v>
      </c>
      <c r="B42" s="214"/>
      <c r="C42" s="214"/>
      <c r="D42" s="214"/>
      <c r="E42" s="214"/>
      <c r="F42" s="214"/>
      <c r="G42" s="3">
        <v>161</v>
      </c>
      <c r="H42" s="351"/>
      <c r="I42" s="351"/>
      <c r="J42" s="351"/>
      <c r="K42" s="351"/>
    </row>
    <row r="43" spans="1:11" x14ac:dyDescent="0.3">
      <c r="A43" s="214" t="s">
        <v>190</v>
      </c>
      <c r="B43" s="214"/>
      <c r="C43" s="214"/>
      <c r="D43" s="214"/>
      <c r="E43" s="214"/>
      <c r="F43" s="214"/>
      <c r="G43" s="3">
        <v>162</v>
      </c>
      <c r="H43" s="351">
        <v>2213194</v>
      </c>
      <c r="I43" s="351"/>
      <c r="J43" s="351">
        <v>3386739</v>
      </c>
      <c r="K43" s="351"/>
    </row>
    <row r="44" spans="1:11" x14ac:dyDescent="0.3">
      <c r="A44" s="214" t="s">
        <v>191</v>
      </c>
      <c r="B44" s="214"/>
      <c r="C44" s="214"/>
      <c r="D44" s="214"/>
      <c r="E44" s="214"/>
      <c r="F44" s="214"/>
      <c r="G44" s="3">
        <v>163</v>
      </c>
      <c r="H44" s="346">
        <f>42232+2+2-28481</f>
        <v>13755</v>
      </c>
      <c r="I44" s="346"/>
      <c r="J44" s="346">
        <f>69880+24+6</f>
        <v>69910</v>
      </c>
      <c r="K44" s="346">
        <v>9561</v>
      </c>
    </row>
    <row r="45" spans="1:11" x14ac:dyDescent="0.3">
      <c r="A45" s="214" t="s">
        <v>192</v>
      </c>
      <c r="B45" s="214"/>
      <c r="C45" s="214"/>
      <c r="D45" s="214"/>
      <c r="E45" s="214"/>
      <c r="F45" s="214"/>
      <c r="G45" s="3">
        <v>164</v>
      </c>
      <c r="H45" s="346"/>
      <c r="I45" s="346"/>
      <c r="J45" s="346">
        <v>214</v>
      </c>
      <c r="K45" s="346">
        <v>214</v>
      </c>
    </row>
    <row r="46" spans="1:11" x14ac:dyDescent="0.3">
      <c r="A46" s="214" t="s">
        <v>193</v>
      </c>
      <c r="B46" s="214"/>
      <c r="C46" s="214"/>
      <c r="D46" s="214"/>
      <c r="E46" s="214"/>
      <c r="F46" s="214"/>
      <c r="G46" s="3">
        <v>165</v>
      </c>
      <c r="H46" s="351"/>
      <c r="I46" s="351"/>
      <c r="J46" s="351"/>
      <c r="K46" s="351"/>
    </row>
    <row r="47" spans="1:11" x14ac:dyDescent="0.3">
      <c r="A47" s="214" t="s">
        <v>194</v>
      </c>
      <c r="B47" s="214"/>
      <c r="C47" s="214"/>
      <c r="D47" s="214"/>
      <c r="E47" s="214"/>
      <c r="F47" s="214"/>
      <c r="G47" s="3">
        <v>166</v>
      </c>
      <c r="H47" s="351"/>
      <c r="I47" s="351"/>
      <c r="J47" s="351"/>
      <c r="K47" s="351"/>
    </row>
    <row r="48" spans="1:11" x14ac:dyDescent="0.3">
      <c r="A48" s="221" t="s">
        <v>479</v>
      </c>
      <c r="B48" s="222"/>
      <c r="C48" s="222"/>
      <c r="D48" s="222"/>
      <c r="E48" s="222"/>
      <c r="F48" s="222"/>
      <c r="G48" s="4">
        <v>167</v>
      </c>
      <c r="H48" s="350">
        <f>SUM(H49:H55)</f>
        <v>1831298</v>
      </c>
      <c r="I48" s="350">
        <f>SUM(I49:I55)</f>
        <v>414449</v>
      </c>
      <c r="J48" s="350">
        <f>SUM(J49:J55)</f>
        <v>4045200</v>
      </c>
      <c r="K48" s="350">
        <f>SUM(K49:K55)</f>
        <v>2786766</v>
      </c>
    </row>
    <row r="49" spans="1:12" x14ac:dyDescent="0.3">
      <c r="A49" s="214" t="s">
        <v>195</v>
      </c>
      <c r="B49" s="214"/>
      <c r="C49" s="214"/>
      <c r="D49" s="214"/>
      <c r="E49" s="214"/>
      <c r="F49" s="214"/>
      <c r="G49" s="3">
        <v>168</v>
      </c>
      <c r="H49" s="346"/>
      <c r="I49" s="346"/>
      <c r="J49" s="346"/>
      <c r="K49" s="346"/>
    </row>
    <row r="50" spans="1:12" ht="20.45" customHeight="1" x14ac:dyDescent="0.3">
      <c r="A50" s="234" t="s">
        <v>196</v>
      </c>
      <c r="B50" s="234"/>
      <c r="C50" s="234"/>
      <c r="D50" s="234"/>
      <c r="E50" s="234"/>
      <c r="F50" s="234"/>
      <c r="G50" s="3">
        <v>169</v>
      </c>
      <c r="H50" s="346"/>
      <c r="I50" s="346"/>
      <c r="J50" s="346"/>
      <c r="K50" s="346"/>
    </row>
    <row r="51" spans="1:12" x14ac:dyDescent="0.3">
      <c r="A51" s="234" t="s">
        <v>197</v>
      </c>
      <c r="B51" s="234"/>
      <c r="C51" s="234"/>
      <c r="D51" s="234"/>
      <c r="E51" s="234"/>
      <c r="F51" s="234"/>
      <c r="G51" s="3">
        <v>170</v>
      </c>
      <c r="H51" s="346">
        <f>1731193+240+12+10</f>
        <v>1731455</v>
      </c>
      <c r="I51" s="346">
        <f>1371455-957006</f>
        <v>414449</v>
      </c>
      <c r="J51" s="346">
        <f>1718453+1081</f>
        <v>1719534</v>
      </c>
      <c r="K51" s="346">
        <f>1719534-1258434</f>
        <v>461100</v>
      </c>
    </row>
    <row r="52" spans="1:12" x14ac:dyDescent="0.3">
      <c r="A52" s="234" t="s">
        <v>198</v>
      </c>
      <c r="B52" s="234"/>
      <c r="C52" s="234"/>
      <c r="D52" s="234"/>
      <c r="E52" s="234"/>
      <c r="F52" s="234"/>
      <c r="G52" s="3">
        <v>171</v>
      </c>
      <c r="H52" s="346">
        <f>67142+99598+1+244-67142</f>
        <v>99843</v>
      </c>
      <c r="I52" s="346"/>
      <c r="J52" s="346">
        <v>2325666</v>
      </c>
      <c r="K52" s="346">
        <v>2325666</v>
      </c>
    </row>
    <row r="53" spans="1:12" x14ac:dyDescent="0.3">
      <c r="A53" s="234" t="s">
        <v>199</v>
      </c>
      <c r="B53" s="234"/>
      <c r="C53" s="234"/>
      <c r="D53" s="234"/>
      <c r="E53" s="234"/>
      <c r="F53" s="234"/>
      <c r="G53" s="3">
        <v>172</v>
      </c>
      <c r="H53" s="346"/>
      <c r="I53" s="346"/>
      <c r="J53" s="346"/>
      <c r="K53" s="346">
        <v>0</v>
      </c>
    </row>
    <row r="54" spans="1:12" x14ac:dyDescent="0.3">
      <c r="A54" s="234" t="s">
        <v>200</v>
      </c>
      <c r="B54" s="234"/>
      <c r="C54" s="234"/>
      <c r="D54" s="234"/>
      <c r="E54" s="234"/>
      <c r="F54" s="234"/>
      <c r="G54" s="3">
        <v>173</v>
      </c>
      <c r="H54" s="346"/>
      <c r="I54" s="346"/>
      <c r="J54" s="346"/>
      <c r="K54" s="346">
        <v>0</v>
      </c>
    </row>
    <row r="55" spans="1:12" x14ac:dyDescent="0.3">
      <c r="A55" s="234" t="s">
        <v>201</v>
      </c>
      <c r="B55" s="234"/>
      <c r="C55" s="234"/>
      <c r="D55" s="234"/>
      <c r="E55" s="234"/>
      <c r="F55" s="234"/>
      <c r="G55" s="3">
        <v>174</v>
      </c>
      <c r="H55" s="346"/>
      <c r="I55" s="346"/>
      <c r="J55" s="346"/>
      <c r="K55" s="346">
        <v>0</v>
      </c>
    </row>
    <row r="56" spans="1:12" ht="27" customHeight="1" x14ac:dyDescent="0.3">
      <c r="A56" s="226" t="s">
        <v>202</v>
      </c>
      <c r="B56" s="226"/>
      <c r="C56" s="226"/>
      <c r="D56" s="226"/>
      <c r="E56" s="226"/>
      <c r="F56" s="226"/>
      <c r="G56" s="3">
        <v>175</v>
      </c>
      <c r="H56" s="346"/>
      <c r="I56" s="346"/>
      <c r="J56" s="346"/>
      <c r="K56" s="346">
        <v>0</v>
      </c>
    </row>
    <row r="57" spans="1:12" x14ac:dyDescent="0.3">
      <c r="A57" s="226" t="s">
        <v>203</v>
      </c>
      <c r="B57" s="226"/>
      <c r="C57" s="226"/>
      <c r="D57" s="226"/>
      <c r="E57" s="226"/>
      <c r="F57" s="226"/>
      <c r="G57" s="3">
        <v>176</v>
      </c>
      <c r="H57" s="346"/>
      <c r="I57" s="346"/>
      <c r="J57" s="346"/>
      <c r="K57" s="346">
        <v>0</v>
      </c>
    </row>
    <row r="58" spans="1:12" ht="24.05" customHeight="1" x14ac:dyDescent="0.3">
      <c r="A58" s="226" t="s">
        <v>204</v>
      </c>
      <c r="B58" s="226"/>
      <c r="C58" s="226"/>
      <c r="D58" s="226"/>
      <c r="E58" s="226"/>
      <c r="F58" s="226"/>
      <c r="G58" s="3">
        <v>177</v>
      </c>
      <c r="H58" s="346"/>
      <c r="I58" s="346"/>
      <c r="J58" s="346"/>
      <c r="K58" s="346">
        <v>0</v>
      </c>
    </row>
    <row r="59" spans="1:12" x14ac:dyDescent="0.3">
      <c r="A59" s="226" t="s">
        <v>205</v>
      </c>
      <c r="B59" s="226"/>
      <c r="C59" s="226"/>
      <c r="D59" s="226"/>
      <c r="E59" s="226"/>
      <c r="F59" s="226"/>
      <c r="G59" s="3">
        <v>178</v>
      </c>
      <c r="H59" s="346"/>
      <c r="I59" s="346"/>
      <c r="J59" s="346"/>
      <c r="K59" s="346">
        <v>0</v>
      </c>
    </row>
    <row r="60" spans="1:12" x14ac:dyDescent="0.3">
      <c r="A60" s="221" t="s">
        <v>478</v>
      </c>
      <c r="B60" s="222"/>
      <c r="C60" s="222"/>
      <c r="D60" s="222"/>
      <c r="E60" s="222"/>
      <c r="F60" s="222"/>
      <c r="G60" s="4">
        <v>179</v>
      </c>
      <c r="H60" s="350">
        <f>H8+H37+H56+H57</f>
        <v>57162826</v>
      </c>
      <c r="I60" s="350">
        <f t="shared" ref="I60:K60" si="0">I8+I37+I56+I57</f>
        <v>1013265</v>
      </c>
      <c r="J60" s="350">
        <f t="shared" si="0"/>
        <v>77247348</v>
      </c>
      <c r="K60" s="350">
        <f t="shared" si="0"/>
        <v>2405319</v>
      </c>
      <c r="L60" s="47"/>
    </row>
    <row r="61" spans="1:12" x14ac:dyDescent="0.3">
      <c r="A61" s="221" t="s">
        <v>480</v>
      </c>
      <c r="B61" s="222"/>
      <c r="C61" s="222"/>
      <c r="D61" s="222"/>
      <c r="E61" s="222"/>
      <c r="F61" s="222"/>
      <c r="G61" s="4">
        <v>180</v>
      </c>
      <c r="H61" s="350">
        <f>H14+H48+H58+H59</f>
        <v>42020358</v>
      </c>
      <c r="I61" s="350">
        <f t="shared" ref="I61:K61" si="1">I14+I48+I58+I59</f>
        <v>11218196</v>
      </c>
      <c r="J61" s="350">
        <f t="shared" si="1"/>
        <v>52809798</v>
      </c>
      <c r="K61" s="350">
        <f t="shared" si="1"/>
        <v>13503713</v>
      </c>
      <c r="L61" s="47"/>
    </row>
    <row r="62" spans="1:12" x14ac:dyDescent="0.3">
      <c r="A62" s="221" t="s">
        <v>206</v>
      </c>
      <c r="B62" s="222"/>
      <c r="C62" s="222"/>
      <c r="D62" s="222"/>
      <c r="E62" s="222"/>
      <c r="F62" s="222"/>
      <c r="G62" s="4">
        <v>181</v>
      </c>
      <c r="H62" s="350">
        <f>H60-H61</f>
        <v>15142468</v>
      </c>
      <c r="I62" s="350">
        <f t="shared" ref="I62:K62" si="2">I60-I61</f>
        <v>-10204931</v>
      </c>
      <c r="J62" s="350">
        <f t="shared" si="2"/>
        <v>24437550</v>
      </c>
      <c r="K62" s="350">
        <f t="shared" si="2"/>
        <v>-11098394</v>
      </c>
      <c r="L62" s="47"/>
    </row>
    <row r="63" spans="1:12" x14ac:dyDescent="0.3">
      <c r="A63" s="236" t="s">
        <v>207</v>
      </c>
      <c r="B63" s="236"/>
      <c r="C63" s="236"/>
      <c r="D63" s="236"/>
      <c r="E63" s="236"/>
      <c r="F63" s="236"/>
      <c r="G63" s="4">
        <v>182</v>
      </c>
      <c r="H63" s="350">
        <f>+IF((H60-H61)&gt;0,(H60-H61),0)</f>
        <v>15142468</v>
      </c>
      <c r="I63" s="350">
        <f t="shared" ref="I63:K63" si="3">+IF((I60-I61)&gt;0,(I60-I61),0)</f>
        <v>0</v>
      </c>
      <c r="J63" s="350">
        <f t="shared" si="3"/>
        <v>24437550</v>
      </c>
      <c r="K63" s="350">
        <f t="shared" si="3"/>
        <v>0</v>
      </c>
      <c r="L63" s="47"/>
    </row>
    <row r="64" spans="1:12" x14ac:dyDescent="0.3">
      <c r="A64" s="236" t="s">
        <v>208</v>
      </c>
      <c r="B64" s="236"/>
      <c r="C64" s="236"/>
      <c r="D64" s="236"/>
      <c r="E64" s="236"/>
      <c r="F64" s="236"/>
      <c r="G64" s="4">
        <v>183</v>
      </c>
      <c r="H64" s="350">
        <f>+IF((H60-H61)&lt;0,(H60-H61),0)</f>
        <v>0</v>
      </c>
      <c r="I64" s="350">
        <f t="shared" ref="I64:K64" si="4">+IF((I60-I61)&lt;0,(I60-I61),0)</f>
        <v>-10204931</v>
      </c>
      <c r="J64" s="350">
        <f t="shared" si="4"/>
        <v>0</v>
      </c>
      <c r="K64" s="350">
        <f t="shared" si="4"/>
        <v>-11098394</v>
      </c>
      <c r="L64" s="47"/>
    </row>
    <row r="65" spans="1:12" x14ac:dyDescent="0.3">
      <c r="A65" s="226" t="s">
        <v>209</v>
      </c>
      <c r="B65" s="226"/>
      <c r="C65" s="226"/>
      <c r="D65" s="226"/>
      <c r="E65" s="226"/>
      <c r="F65" s="226"/>
      <c r="G65" s="3">
        <v>184</v>
      </c>
      <c r="H65" s="351">
        <v>0</v>
      </c>
      <c r="I65" s="351">
        <v>0</v>
      </c>
      <c r="J65" s="351">
        <v>0</v>
      </c>
      <c r="K65" s="351">
        <v>0</v>
      </c>
      <c r="L65" s="47"/>
    </row>
    <row r="66" spans="1:12" x14ac:dyDescent="0.3">
      <c r="A66" s="221" t="s">
        <v>210</v>
      </c>
      <c r="B66" s="222"/>
      <c r="C66" s="222"/>
      <c r="D66" s="222"/>
      <c r="E66" s="222"/>
      <c r="F66" s="222"/>
      <c r="G66" s="4">
        <v>185</v>
      </c>
      <c r="H66" s="350">
        <f>H62-H65</f>
        <v>15142468</v>
      </c>
      <c r="I66" s="350">
        <f t="shared" ref="I66:K66" si="5">I62-I65</f>
        <v>-10204931</v>
      </c>
      <c r="J66" s="350">
        <f t="shared" si="5"/>
        <v>24437550</v>
      </c>
      <c r="K66" s="350">
        <f t="shared" si="5"/>
        <v>-11098394</v>
      </c>
      <c r="L66" s="47"/>
    </row>
    <row r="67" spans="1:12" x14ac:dyDescent="0.3">
      <c r="A67" s="236" t="s">
        <v>211</v>
      </c>
      <c r="B67" s="236"/>
      <c r="C67" s="236"/>
      <c r="D67" s="236"/>
      <c r="E67" s="236"/>
      <c r="F67" s="236"/>
      <c r="G67" s="4">
        <v>186</v>
      </c>
      <c r="H67" s="350">
        <f>+IF((H62-H65)&gt;0,(H62-H65),0)</f>
        <v>15142468</v>
      </c>
      <c r="I67" s="350">
        <f t="shared" ref="I67:K67" si="6">+IF((I62-I65)&gt;0,(I62-I65),0)</f>
        <v>0</v>
      </c>
      <c r="J67" s="350">
        <f t="shared" si="6"/>
        <v>24437550</v>
      </c>
      <c r="K67" s="350">
        <f t="shared" si="6"/>
        <v>0</v>
      </c>
      <c r="L67" s="47"/>
    </row>
    <row r="68" spans="1:12" x14ac:dyDescent="0.3">
      <c r="A68" s="235" t="s">
        <v>212</v>
      </c>
      <c r="B68" s="235"/>
      <c r="C68" s="235"/>
      <c r="D68" s="235"/>
      <c r="E68" s="235"/>
      <c r="F68" s="235"/>
      <c r="G68" s="12">
        <v>187</v>
      </c>
      <c r="H68" s="350">
        <f>+IF((H62-H65)&lt;0,(H62-H65),0)</f>
        <v>0</v>
      </c>
      <c r="I68" s="350">
        <f t="shared" ref="I68:K68" si="7">+IF((I62-I65)&lt;0,(I62-I65),0)</f>
        <v>-10204931</v>
      </c>
      <c r="J68" s="350">
        <f t="shared" si="7"/>
        <v>0</v>
      </c>
      <c r="K68" s="350">
        <f t="shared" si="7"/>
        <v>-11098394</v>
      </c>
      <c r="L68" s="47"/>
    </row>
    <row r="69" spans="1:12" ht="14.4" customHeight="1" x14ac:dyDescent="0.3">
      <c r="A69" s="258" t="s">
        <v>213</v>
      </c>
      <c r="B69" s="259"/>
      <c r="C69" s="259"/>
      <c r="D69" s="259"/>
      <c r="E69" s="259"/>
      <c r="F69" s="259"/>
      <c r="G69" s="259"/>
      <c r="H69" s="259"/>
      <c r="I69" s="259"/>
      <c r="J69" s="259"/>
      <c r="K69" s="259"/>
    </row>
    <row r="70" spans="1:12" x14ac:dyDescent="0.3">
      <c r="A70" s="221" t="s">
        <v>214</v>
      </c>
      <c r="B70" s="222"/>
      <c r="C70" s="222"/>
      <c r="D70" s="222"/>
      <c r="E70" s="222"/>
      <c r="F70" s="222"/>
      <c r="G70" s="4">
        <v>188</v>
      </c>
      <c r="H70" s="350">
        <f>H71-H72</f>
        <v>0</v>
      </c>
      <c r="I70" s="350">
        <f>I71-I72</f>
        <v>0</v>
      </c>
      <c r="J70" s="350">
        <f>J71-J72</f>
        <v>0</v>
      </c>
      <c r="K70" s="350">
        <f>K71-K72</f>
        <v>0</v>
      </c>
    </row>
    <row r="71" spans="1:12" x14ac:dyDescent="0.3">
      <c r="A71" s="234" t="s">
        <v>215</v>
      </c>
      <c r="B71" s="234"/>
      <c r="C71" s="234"/>
      <c r="D71" s="234"/>
      <c r="E71" s="234"/>
      <c r="F71" s="234"/>
      <c r="G71" s="3">
        <v>189</v>
      </c>
      <c r="H71" s="351">
        <v>0</v>
      </c>
      <c r="I71" s="351">
        <v>0</v>
      </c>
      <c r="J71" s="351">
        <v>0</v>
      </c>
      <c r="K71" s="351">
        <v>0</v>
      </c>
    </row>
    <row r="72" spans="1:12" x14ac:dyDescent="0.3">
      <c r="A72" s="234" t="s">
        <v>216</v>
      </c>
      <c r="B72" s="234"/>
      <c r="C72" s="234"/>
      <c r="D72" s="234"/>
      <c r="E72" s="234"/>
      <c r="F72" s="234"/>
      <c r="G72" s="3">
        <v>190</v>
      </c>
      <c r="H72" s="351">
        <v>0</v>
      </c>
      <c r="I72" s="351">
        <v>0</v>
      </c>
      <c r="J72" s="351">
        <v>0</v>
      </c>
      <c r="K72" s="351">
        <v>0</v>
      </c>
    </row>
    <row r="73" spans="1:12" x14ac:dyDescent="0.3">
      <c r="A73" s="226" t="s">
        <v>217</v>
      </c>
      <c r="B73" s="226"/>
      <c r="C73" s="226"/>
      <c r="D73" s="226"/>
      <c r="E73" s="226"/>
      <c r="F73" s="226"/>
      <c r="G73" s="3">
        <v>191</v>
      </c>
      <c r="H73" s="351">
        <v>0</v>
      </c>
      <c r="I73" s="351">
        <v>0</v>
      </c>
      <c r="J73" s="351">
        <v>0</v>
      </c>
      <c r="K73" s="351">
        <v>0</v>
      </c>
    </row>
    <row r="74" spans="1:12" x14ac:dyDescent="0.3">
      <c r="A74" s="236" t="s">
        <v>218</v>
      </c>
      <c r="B74" s="236"/>
      <c r="C74" s="236"/>
      <c r="D74" s="236"/>
      <c r="E74" s="236"/>
      <c r="F74" s="236"/>
      <c r="G74" s="4">
        <v>192</v>
      </c>
      <c r="H74" s="352">
        <v>0</v>
      </c>
      <c r="I74" s="352">
        <v>0</v>
      </c>
      <c r="J74" s="352">
        <v>0</v>
      </c>
      <c r="K74" s="352">
        <v>0</v>
      </c>
    </row>
    <row r="75" spans="1:12" x14ac:dyDescent="0.3">
      <c r="A75" s="235" t="s">
        <v>219</v>
      </c>
      <c r="B75" s="235"/>
      <c r="C75" s="235"/>
      <c r="D75" s="235"/>
      <c r="E75" s="235"/>
      <c r="F75" s="235"/>
      <c r="G75" s="12">
        <v>193</v>
      </c>
      <c r="H75" s="352">
        <v>0</v>
      </c>
      <c r="I75" s="352">
        <v>0</v>
      </c>
      <c r="J75" s="352">
        <v>0</v>
      </c>
      <c r="K75" s="352">
        <v>0</v>
      </c>
    </row>
    <row r="76" spans="1:12" ht="14.4" customHeight="1" x14ac:dyDescent="0.3">
      <c r="A76" s="258" t="s">
        <v>220</v>
      </c>
      <c r="B76" s="259"/>
      <c r="C76" s="259"/>
      <c r="D76" s="259"/>
      <c r="E76" s="259"/>
      <c r="F76" s="259"/>
      <c r="G76" s="259"/>
      <c r="H76" s="259"/>
      <c r="I76" s="259"/>
      <c r="J76" s="259"/>
      <c r="K76" s="259"/>
    </row>
    <row r="77" spans="1:12" x14ac:dyDescent="0.3">
      <c r="A77" s="221" t="s">
        <v>221</v>
      </c>
      <c r="B77" s="222"/>
      <c r="C77" s="222"/>
      <c r="D77" s="222"/>
      <c r="E77" s="222"/>
      <c r="F77" s="222"/>
      <c r="G77" s="4">
        <v>194</v>
      </c>
      <c r="H77" s="5">
        <v>0</v>
      </c>
      <c r="I77" s="5">
        <v>0</v>
      </c>
      <c r="J77" s="5">
        <v>0</v>
      </c>
      <c r="K77" s="5">
        <v>0</v>
      </c>
    </row>
    <row r="78" spans="1:12" x14ac:dyDescent="0.3">
      <c r="A78" s="241" t="s">
        <v>222</v>
      </c>
      <c r="B78" s="241"/>
      <c r="C78" s="241"/>
      <c r="D78" s="241"/>
      <c r="E78" s="241"/>
      <c r="F78" s="241"/>
      <c r="G78" s="14">
        <v>195</v>
      </c>
      <c r="H78" s="48">
        <v>0</v>
      </c>
      <c r="I78" s="48">
        <v>0</v>
      </c>
      <c r="J78" s="48">
        <v>0</v>
      </c>
      <c r="K78" s="48">
        <v>0</v>
      </c>
    </row>
    <row r="79" spans="1:12" x14ac:dyDescent="0.3">
      <c r="A79" s="241" t="s">
        <v>223</v>
      </c>
      <c r="B79" s="241"/>
      <c r="C79" s="241"/>
      <c r="D79" s="241"/>
      <c r="E79" s="241"/>
      <c r="F79" s="241"/>
      <c r="G79" s="14">
        <v>196</v>
      </c>
      <c r="H79" s="48">
        <v>0</v>
      </c>
      <c r="I79" s="48">
        <v>0</v>
      </c>
      <c r="J79" s="48">
        <v>0</v>
      </c>
      <c r="K79" s="48">
        <v>0</v>
      </c>
    </row>
    <row r="80" spans="1:12" x14ac:dyDescent="0.3">
      <c r="A80" s="221" t="s">
        <v>224</v>
      </c>
      <c r="B80" s="222"/>
      <c r="C80" s="222"/>
      <c r="D80" s="222"/>
      <c r="E80" s="222"/>
      <c r="F80" s="222"/>
      <c r="G80" s="4">
        <v>197</v>
      </c>
      <c r="H80" s="5">
        <v>0</v>
      </c>
      <c r="I80" s="5">
        <v>0</v>
      </c>
      <c r="J80" s="5">
        <v>0</v>
      </c>
      <c r="K80" s="5">
        <v>0</v>
      </c>
    </row>
    <row r="81" spans="1:11" x14ac:dyDescent="0.3">
      <c r="A81" s="221" t="s">
        <v>225</v>
      </c>
      <c r="B81" s="222"/>
      <c r="C81" s="222"/>
      <c r="D81" s="222"/>
      <c r="E81" s="222"/>
      <c r="F81" s="222"/>
      <c r="G81" s="4">
        <v>198</v>
      </c>
      <c r="H81" s="5">
        <v>0</v>
      </c>
      <c r="I81" s="5">
        <v>0</v>
      </c>
      <c r="J81" s="5">
        <v>0</v>
      </c>
      <c r="K81" s="5">
        <v>0</v>
      </c>
    </row>
    <row r="82" spans="1:11" x14ac:dyDescent="0.3">
      <c r="A82" s="236" t="s">
        <v>226</v>
      </c>
      <c r="B82" s="236"/>
      <c r="C82" s="236"/>
      <c r="D82" s="236"/>
      <c r="E82" s="236"/>
      <c r="F82" s="236"/>
      <c r="G82" s="4">
        <v>199</v>
      </c>
      <c r="H82" s="5">
        <v>0</v>
      </c>
      <c r="I82" s="5">
        <v>0</v>
      </c>
      <c r="J82" s="5">
        <v>0</v>
      </c>
      <c r="K82" s="5">
        <v>0</v>
      </c>
    </row>
    <row r="83" spans="1:11" x14ac:dyDescent="0.3">
      <c r="A83" s="235" t="s">
        <v>227</v>
      </c>
      <c r="B83" s="235"/>
      <c r="C83" s="235"/>
      <c r="D83" s="235"/>
      <c r="E83" s="235"/>
      <c r="F83" s="235"/>
      <c r="G83" s="4">
        <v>200</v>
      </c>
      <c r="H83" s="13">
        <v>0</v>
      </c>
      <c r="I83" s="13">
        <v>0</v>
      </c>
      <c r="J83" s="13">
        <v>0</v>
      </c>
      <c r="K83" s="13">
        <v>0</v>
      </c>
    </row>
    <row r="84" spans="1:11" ht="14.4" customHeight="1" x14ac:dyDescent="0.3">
      <c r="A84" s="258" t="s">
        <v>228</v>
      </c>
      <c r="B84" s="259"/>
      <c r="C84" s="259"/>
      <c r="D84" s="259"/>
      <c r="E84" s="259"/>
      <c r="F84" s="259"/>
      <c r="G84" s="259"/>
      <c r="H84" s="259"/>
      <c r="I84" s="259"/>
      <c r="J84" s="259"/>
      <c r="K84" s="259"/>
    </row>
    <row r="85" spans="1:11" x14ac:dyDescent="0.3">
      <c r="A85" s="239" t="s">
        <v>229</v>
      </c>
      <c r="B85" s="240"/>
      <c r="C85" s="240"/>
      <c r="D85" s="240"/>
      <c r="E85" s="240"/>
      <c r="F85" s="240"/>
      <c r="G85" s="4">
        <v>201</v>
      </c>
      <c r="H85" s="353">
        <f>H86+H87</f>
        <v>15142468</v>
      </c>
      <c r="I85" s="353">
        <f>I86+I87</f>
        <v>-10204931</v>
      </c>
      <c r="J85" s="353">
        <f>J86+J87</f>
        <v>24437550</v>
      </c>
      <c r="K85" s="353">
        <f>K86+K87</f>
        <v>-11098394</v>
      </c>
    </row>
    <row r="86" spans="1:11" x14ac:dyDescent="0.3">
      <c r="A86" s="243" t="s">
        <v>230</v>
      </c>
      <c r="B86" s="243"/>
      <c r="C86" s="243"/>
      <c r="D86" s="243"/>
      <c r="E86" s="243"/>
      <c r="F86" s="243"/>
      <c r="G86" s="3">
        <v>202</v>
      </c>
      <c r="H86" s="354">
        <f>+H66</f>
        <v>15142468</v>
      </c>
      <c r="I86" s="354">
        <f t="shared" ref="I86:K86" si="8">+I66</f>
        <v>-10204931</v>
      </c>
      <c r="J86" s="354">
        <f t="shared" si="8"/>
        <v>24437550</v>
      </c>
      <c r="K86" s="354">
        <f t="shared" si="8"/>
        <v>-11098394</v>
      </c>
    </row>
    <row r="87" spans="1:11" x14ac:dyDescent="0.3">
      <c r="A87" s="245" t="s">
        <v>231</v>
      </c>
      <c r="B87" s="245"/>
      <c r="C87" s="245"/>
      <c r="D87" s="245"/>
      <c r="E87" s="245"/>
      <c r="F87" s="245"/>
      <c r="G87" s="6">
        <v>203</v>
      </c>
      <c r="H87" s="354">
        <v>0</v>
      </c>
      <c r="I87" s="354">
        <v>0</v>
      </c>
      <c r="J87" s="354">
        <v>0</v>
      </c>
      <c r="K87" s="354">
        <v>0</v>
      </c>
    </row>
    <row r="88" spans="1:11" ht="14.4" customHeight="1" x14ac:dyDescent="0.3">
      <c r="A88" s="260" t="s">
        <v>232</v>
      </c>
      <c r="B88" s="261"/>
      <c r="C88" s="261"/>
      <c r="D88" s="261"/>
      <c r="E88" s="261"/>
      <c r="F88" s="261"/>
      <c r="G88" s="261"/>
      <c r="H88" s="261"/>
      <c r="I88" s="261"/>
      <c r="J88" s="261"/>
      <c r="K88" s="261"/>
    </row>
    <row r="89" spans="1:11" x14ac:dyDescent="0.3">
      <c r="A89" s="237" t="s">
        <v>233</v>
      </c>
      <c r="B89" s="237"/>
      <c r="C89" s="237"/>
      <c r="D89" s="237"/>
      <c r="E89" s="237"/>
      <c r="F89" s="237"/>
      <c r="G89" s="3">
        <v>204</v>
      </c>
      <c r="H89" s="354">
        <f>+H67+H68</f>
        <v>15142468</v>
      </c>
      <c r="I89" s="354">
        <f t="shared" ref="I89:K89" si="9">+I67+I68</f>
        <v>-10204931</v>
      </c>
      <c r="J89" s="354">
        <f>+J67+J68</f>
        <v>24437550</v>
      </c>
      <c r="K89" s="354">
        <f t="shared" si="9"/>
        <v>-11098394</v>
      </c>
    </row>
    <row r="90" spans="1:11" ht="22.2" customHeight="1" x14ac:dyDescent="0.3">
      <c r="A90" s="238" t="s">
        <v>234</v>
      </c>
      <c r="B90" s="238"/>
      <c r="C90" s="238"/>
      <c r="D90" s="238"/>
      <c r="E90" s="238"/>
      <c r="F90" s="238"/>
      <c r="G90" s="4">
        <v>205</v>
      </c>
      <c r="H90" s="355">
        <f>H91+H98</f>
        <v>4056210</v>
      </c>
      <c r="I90" s="355">
        <f>I91+I98</f>
        <v>3950799</v>
      </c>
      <c r="J90" s="355">
        <f t="shared" ref="J90:K90" si="10">J91+J98</f>
        <v>-6517850</v>
      </c>
      <c r="K90" s="355">
        <f t="shared" si="10"/>
        <v>2185705</v>
      </c>
    </row>
    <row r="91" spans="1:11" x14ac:dyDescent="0.3">
      <c r="A91" s="238" t="s">
        <v>235</v>
      </c>
      <c r="B91" s="238"/>
      <c r="C91" s="238"/>
      <c r="D91" s="238"/>
      <c r="E91" s="238"/>
      <c r="F91" s="238"/>
      <c r="G91" s="4">
        <v>206</v>
      </c>
      <c r="H91" s="355">
        <f>SUM(H92:H96)</f>
        <v>4056210</v>
      </c>
      <c r="I91" s="355">
        <f>SUM(I92:I96)</f>
        <v>3950799</v>
      </c>
      <c r="J91" s="355">
        <f t="shared" ref="J91:K91" si="11">SUM(J92:J96)</f>
        <v>-6517850</v>
      </c>
      <c r="K91" s="355">
        <f t="shared" si="11"/>
        <v>2185705</v>
      </c>
    </row>
    <row r="92" spans="1:11" x14ac:dyDescent="0.3">
      <c r="A92" s="234" t="s">
        <v>236</v>
      </c>
      <c r="B92" s="234"/>
      <c r="C92" s="234"/>
      <c r="D92" s="234"/>
      <c r="E92" s="234"/>
      <c r="F92" s="234"/>
      <c r="G92" s="3">
        <v>207</v>
      </c>
      <c r="H92" s="354">
        <v>0</v>
      </c>
      <c r="I92" s="354">
        <v>0</v>
      </c>
      <c r="J92" s="354">
        <v>0</v>
      </c>
      <c r="K92" s="354">
        <v>0</v>
      </c>
    </row>
    <row r="93" spans="1:11" ht="22.85" customHeight="1" x14ac:dyDescent="0.3">
      <c r="A93" s="234" t="s">
        <v>237</v>
      </c>
      <c r="B93" s="234"/>
      <c r="C93" s="234"/>
      <c r="D93" s="234"/>
      <c r="E93" s="234"/>
      <c r="F93" s="234"/>
      <c r="G93" s="3">
        <v>208</v>
      </c>
      <c r="H93" s="354">
        <v>4056210</v>
      </c>
      <c r="I93" s="354">
        <v>3950799</v>
      </c>
      <c r="J93" s="354">
        <v>-6517850</v>
      </c>
      <c r="K93" s="354">
        <v>2185705</v>
      </c>
    </row>
    <row r="94" spans="1:11" ht="24.6" customHeight="1" x14ac:dyDescent="0.3">
      <c r="A94" s="234" t="s">
        <v>238</v>
      </c>
      <c r="B94" s="234"/>
      <c r="C94" s="234"/>
      <c r="D94" s="234"/>
      <c r="E94" s="234"/>
      <c r="F94" s="234"/>
      <c r="G94" s="3">
        <v>209</v>
      </c>
      <c r="H94" s="354">
        <v>0</v>
      </c>
      <c r="I94" s="354">
        <v>0</v>
      </c>
      <c r="J94" s="354">
        <v>0</v>
      </c>
      <c r="K94" s="354">
        <v>0</v>
      </c>
    </row>
    <row r="95" spans="1:11" x14ac:dyDescent="0.3">
      <c r="A95" s="234" t="s">
        <v>239</v>
      </c>
      <c r="B95" s="234"/>
      <c r="C95" s="234"/>
      <c r="D95" s="234"/>
      <c r="E95" s="234"/>
      <c r="F95" s="234"/>
      <c r="G95" s="3">
        <v>210</v>
      </c>
      <c r="H95" s="354">
        <v>0</v>
      </c>
      <c r="I95" s="354">
        <v>0</v>
      </c>
      <c r="J95" s="354">
        <v>0</v>
      </c>
      <c r="K95" s="354">
        <v>0</v>
      </c>
    </row>
    <row r="96" spans="1:11" x14ac:dyDescent="0.3">
      <c r="A96" s="234" t="s">
        <v>240</v>
      </c>
      <c r="B96" s="234"/>
      <c r="C96" s="234"/>
      <c r="D96" s="234"/>
      <c r="E96" s="234"/>
      <c r="F96" s="234"/>
      <c r="G96" s="3">
        <v>211</v>
      </c>
      <c r="H96" s="354">
        <v>0</v>
      </c>
      <c r="I96" s="354">
        <v>0</v>
      </c>
      <c r="J96" s="354">
        <v>0</v>
      </c>
      <c r="K96" s="354">
        <v>0</v>
      </c>
    </row>
    <row r="97" spans="1:11" x14ac:dyDescent="0.3">
      <c r="A97" s="234" t="s">
        <v>241</v>
      </c>
      <c r="B97" s="234"/>
      <c r="C97" s="234"/>
      <c r="D97" s="234"/>
      <c r="E97" s="234"/>
      <c r="F97" s="234"/>
      <c r="G97" s="3">
        <v>212</v>
      </c>
      <c r="H97" s="354">
        <v>0</v>
      </c>
      <c r="I97" s="354">
        <v>0</v>
      </c>
      <c r="J97" s="354">
        <v>0</v>
      </c>
      <c r="K97" s="354">
        <v>0</v>
      </c>
    </row>
    <row r="98" spans="1:11" x14ac:dyDescent="0.3">
      <c r="A98" s="238" t="s">
        <v>242</v>
      </c>
      <c r="B98" s="238"/>
      <c r="C98" s="238"/>
      <c r="D98" s="238"/>
      <c r="E98" s="238"/>
      <c r="F98" s="238"/>
      <c r="G98" s="4">
        <v>213</v>
      </c>
      <c r="H98" s="355">
        <f>SUM(H99:H106)</f>
        <v>0</v>
      </c>
      <c r="I98" s="355">
        <f>SUM(I99:I106)</f>
        <v>0</v>
      </c>
      <c r="J98" s="355">
        <f t="shared" ref="J98:K98" si="12">SUM(J99:J106)</f>
        <v>0</v>
      </c>
      <c r="K98" s="355">
        <f t="shared" si="12"/>
        <v>0</v>
      </c>
    </row>
    <row r="99" spans="1:11" x14ac:dyDescent="0.3">
      <c r="A99" s="234" t="s">
        <v>243</v>
      </c>
      <c r="B99" s="234"/>
      <c r="C99" s="234"/>
      <c r="D99" s="234"/>
      <c r="E99" s="234"/>
      <c r="F99" s="234"/>
      <c r="G99" s="3">
        <v>214</v>
      </c>
      <c r="H99" s="354">
        <v>0</v>
      </c>
      <c r="I99" s="354">
        <v>0</v>
      </c>
      <c r="J99" s="354">
        <v>0</v>
      </c>
      <c r="K99" s="354">
        <v>0</v>
      </c>
    </row>
    <row r="100" spans="1:11" ht="30.65" customHeight="1" x14ac:dyDescent="0.3">
      <c r="A100" s="234" t="s">
        <v>244</v>
      </c>
      <c r="B100" s="234"/>
      <c r="C100" s="234"/>
      <c r="D100" s="234"/>
      <c r="E100" s="234"/>
      <c r="F100" s="234"/>
      <c r="G100" s="3">
        <v>215</v>
      </c>
      <c r="H100" s="354">
        <v>0</v>
      </c>
      <c r="I100" s="354">
        <v>0</v>
      </c>
      <c r="J100" s="354">
        <v>0</v>
      </c>
      <c r="K100" s="354">
        <v>0</v>
      </c>
    </row>
    <row r="101" spans="1:11" x14ac:dyDescent="0.3">
      <c r="A101" s="234" t="s">
        <v>245</v>
      </c>
      <c r="B101" s="234"/>
      <c r="C101" s="234"/>
      <c r="D101" s="234"/>
      <c r="E101" s="234"/>
      <c r="F101" s="234"/>
      <c r="G101" s="3">
        <v>216</v>
      </c>
      <c r="H101" s="354">
        <v>0</v>
      </c>
      <c r="I101" s="354">
        <v>0</v>
      </c>
      <c r="J101" s="354">
        <v>0</v>
      </c>
      <c r="K101" s="354">
        <v>0</v>
      </c>
    </row>
    <row r="102" spans="1:11" x14ac:dyDescent="0.3">
      <c r="A102" s="234" t="s">
        <v>246</v>
      </c>
      <c r="B102" s="234"/>
      <c r="C102" s="234"/>
      <c r="D102" s="234"/>
      <c r="E102" s="234"/>
      <c r="F102" s="234"/>
      <c r="G102" s="3">
        <v>217</v>
      </c>
      <c r="H102" s="354">
        <v>0</v>
      </c>
      <c r="I102" s="354">
        <v>0</v>
      </c>
      <c r="J102" s="354">
        <v>0</v>
      </c>
      <c r="K102" s="354">
        <v>0</v>
      </c>
    </row>
    <row r="103" spans="1:11" ht="19.25" customHeight="1" x14ac:dyDescent="0.3">
      <c r="A103" s="234" t="s">
        <v>247</v>
      </c>
      <c r="B103" s="234"/>
      <c r="C103" s="234"/>
      <c r="D103" s="234"/>
      <c r="E103" s="234"/>
      <c r="F103" s="234"/>
      <c r="G103" s="3">
        <v>218</v>
      </c>
      <c r="H103" s="354">
        <v>0</v>
      </c>
      <c r="I103" s="354">
        <v>0</v>
      </c>
      <c r="J103" s="354">
        <v>0</v>
      </c>
      <c r="K103" s="354">
        <v>0</v>
      </c>
    </row>
    <row r="104" spans="1:11" x14ac:dyDescent="0.3">
      <c r="A104" s="234" t="s">
        <v>248</v>
      </c>
      <c r="B104" s="234"/>
      <c r="C104" s="234"/>
      <c r="D104" s="234"/>
      <c r="E104" s="234"/>
      <c r="F104" s="234"/>
      <c r="G104" s="3">
        <v>219</v>
      </c>
      <c r="H104" s="354">
        <v>0</v>
      </c>
      <c r="I104" s="354">
        <v>0</v>
      </c>
      <c r="J104" s="354">
        <v>0</v>
      </c>
      <c r="K104" s="354">
        <v>0</v>
      </c>
    </row>
    <row r="105" spans="1:11" x14ac:dyDescent="0.3">
      <c r="A105" s="234" t="s">
        <v>249</v>
      </c>
      <c r="B105" s="234"/>
      <c r="C105" s="234"/>
      <c r="D105" s="234"/>
      <c r="E105" s="234"/>
      <c r="F105" s="234"/>
      <c r="G105" s="3">
        <v>220</v>
      </c>
      <c r="H105" s="354">
        <v>0</v>
      </c>
      <c r="I105" s="354">
        <v>0</v>
      </c>
      <c r="J105" s="354">
        <v>0</v>
      </c>
      <c r="K105" s="354">
        <v>0</v>
      </c>
    </row>
    <row r="106" spans="1:11" x14ac:dyDescent="0.3">
      <c r="A106" s="234" t="s">
        <v>250</v>
      </c>
      <c r="B106" s="234"/>
      <c r="C106" s="234"/>
      <c r="D106" s="234"/>
      <c r="E106" s="234"/>
      <c r="F106" s="234"/>
      <c r="G106" s="3">
        <v>221</v>
      </c>
      <c r="H106" s="354">
        <v>0</v>
      </c>
      <c r="I106" s="354">
        <v>0</v>
      </c>
      <c r="J106" s="354">
        <v>0</v>
      </c>
      <c r="K106" s="354">
        <v>0</v>
      </c>
    </row>
    <row r="107" spans="1:11" x14ac:dyDescent="0.3">
      <c r="A107" s="234" t="s">
        <v>251</v>
      </c>
      <c r="B107" s="234"/>
      <c r="C107" s="234"/>
      <c r="D107" s="234"/>
      <c r="E107" s="234"/>
      <c r="F107" s="234"/>
      <c r="G107" s="3">
        <v>222</v>
      </c>
      <c r="H107" s="354">
        <v>0</v>
      </c>
      <c r="I107" s="354">
        <v>0</v>
      </c>
      <c r="J107" s="354">
        <v>0</v>
      </c>
      <c r="K107" s="354">
        <v>0</v>
      </c>
    </row>
    <row r="108" spans="1:11" x14ac:dyDescent="0.3">
      <c r="A108" s="246" t="s">
        <v>252</v>
      </c>
      <c r="B108" s="246"/>
      <c r="C108" s="246"/>
      <c r="D108" s="246"/>
      <c r="E108" s="246"/>
      <c r="F108" s="246"/>
      <c r="G108" s="12">
        <v>223</v>
      </c>
      <c r="H108" s="355">
        <f>H91+H98-H107-H97</f>
        <v>4056210</v>
      </c>
      <c r="I108" s="355">
        <f>I91+I98-I107-I97</f>
        <v>3950799</v>
      </c>
      <c r="J108" s="355">
        <f t="shared" ref="J108:K108" si="13">J91+J98-J107-J97</f>
        <v>-6517850</v>
      </c>
      <c r="K108" s="355">
        <f t="shared" si="13"/>
        <v>2185705</v>
      </c>
    </row>
    <row r="109" spans="1:11" x14ac:dyDescent="0.3">
      <c r="A109" s="246" t="s">
        <v>253</v>
      </c>
      <c r="B109" s="246"/>
      <c r="C109" s="246"/>
      <c r="D109" s="246"/>
      <c r="E109" s="246"/>
      <c r="F109" s="246"/>
      <c r="G109" s="12">
        <v>224</v>
      </c>
      <c r="H109" s="353">
        <f>H89+H108</f>
        <v>19198678</v>
      </c>
      <c r="I109" s="353">
        <f>I89+I108</f>
        <v>-6254132</v>
      </c>
      <c r="J109" s="353">
        <f t="shared" ref="J109:K109" si="14">J89+J108</f>
        <v>17919700</v>
      </c>
      <c r="K109" s="353">
        <f t="shared" si="14"/>
        <v>-8912689</v>
      </c>
    </row>
    <row r="110" spans="1:11" ht="22.85" customHeight="1" x14ac:dyDescent="0.3">
      <c r="A110" s="258" t="s">
        <v>254</v>
      </c>
      <c r="B110" s="259"/>
      <c r="C110" s="259"/>
      <c r="D110" s="259"/>
      <c r="E110" s="259"/>
      <c r="F110" s="259"/>
      <c r="G110" s="259"/>
      <c r="H110" s="259"/>
      <c r="I110" s="259"/>
      <c r="J110" s="259"/>
      <c r="K110" s="259"/>
    </row>
    <row r="111" spans="1:11" x14ac:dyDescent="0.3">
      <c r="A111" s="239" t="s">
        <v>255</v>
      </c>
      <c r="B111" s="240"/>
      <c r="C111" s="240"/>
      <c r="D111" s="240"/>
      <c r="E111" s="240"/>
      <c r="F111" s="240"/>
      <c r="G111" s="4">
        <v>225</v>
      </c>
      <c r="H111" s="353">
        <f>H112+H113</f>
        <v>19198678</v>
      </c>
      <c r="I111" s="353">
        <f>I112+I113</f>
        <v>-6254132</v>
      </c>
      <c r="J111" s="353">
        <f>J112+J113</f>
        <v>17919700</v>
      </c>
      <c r="K111" s="353">
        <f>K112+K113</f>
        <v>-8912689</v>
      </c>
    </row>
    <row r="112" spans="1:11" x14ac:dyDescent="0.3">
      <c r="A112" s="242" t="s">
        <v>256</v>
      </c>
      <c r="B112" s="243"/>
      <c r="C112" s="243"/>
      <c r="D112" s="243"/>
      <c r="E112" s="243"/>
      <c r="F112" s="243"/>
      <c r="G112" s="3">
        <v>226</v>
      </c>
      <c r="H112" s="354">
        <f>+H109</f>
        <v>19198678</v>
      </c>
      <c r="I112" s="354">
        <f t="shared" ref="I112:K112" si="15">+I109</f>
        <v>-6254132</v>
      </c>
      <c r="J112" s="354">
        <f t="shared" si="15"/>
        <v>17919700</v>
      </c>
      <c r="K112" s="354">
        <f t="shared" si="15"/>
        <v>-8912689</v>
      </c>
    </row>
    <row r="113" spans="1:11" x14ac:dyDescent="0.3">
      <c r="A113" s="244" t="s">
        <v>257</v>
      </c>
      <c r="B113" s="245"/>
      <c r="C113" s="245"/>
      <c r="D113" s="245"/>
      <c r="E113" s="245"/>
      <c r="F113" s="245"/>
      <c r="G113" s="6">
        <v>227</v>
      </c>
      <c r="H113" s="354">
        <v>0</v>
      </c>
      <c r="I113" s="354">
        <v>0</v>
      </c>
      <c r="J113" s="354">
        <v>0</v>
      </c>
      <c r="K113" s="354">
        <v>0</v>
      </c>
    </row>
  </sheetData>
  <mergeCells count="114">
    <mergeCell ref="J5:K5"/>
    <mergeCell ref="H5:I5"/>
    <mergeCell ref="A4:K4"/>
    <mergeCell ref="A3:K3"/>
    <mergeCell ref="A5:F6"/>
    <mergeCell ref="A110:K110"/>
    <mergeCell ref="A88:K88"/>
    <mergeCell ref="A84:K84"/>
    <mergeCell ref="A76:K76"/>
    <mergeCell ref="A69:K69"/>
    <mergeCell ref="A98:F98"/>
    <mergeCell ref="A99:F99"/>
    <mergeCell ref="A100:F100"/>
    <mergeCell ref="A101:F101"/>
    <mergeCell ref="A102:F102"/>
    <mergeCell ref="A103:F103"/>
    <mergeCell ref="A92:F92"/>
    <mergeCell ref="A93:F93"/>
    <mergeCell ref="A94:F94"/>
    <mergeCell ref="A95:F95"/>
    <mergeCell ref="A96:F96"/>
    <mergeCell ref="A97:F97"/>
    <mergeCell ref="A86:F86"/>
    <mergeCell ref="A87:F87"/>
    <mergeCell ref="A111:F111"/>
    <mergeCell ref="A112:F112"/>
    <mergeCell ref="A113:F113"/>
    <mergeCell ref="A104:F104"/>
    <mergeCell ref="A105:F105"/>
    <mergeCell ref="A106:F106"/>
    <mergeCell ref="A107:F107"/>
    <mergeCell ref="A108:F108"/>
    <mergeCell ref="A109:F109"/>
    <mergeCell ref="A89:F89"/>
    <mergeCell ref="A90:F90"/>
    <mergeCell ref="A91:F91"/>
    <mergeCell ref="A80:F80"/>
    <mergeCell ref="A81:F81"/>
    <mergeCell ref="A82:F82"/>
    <mergeCell ref="A83:F83"/>
    <mergeCell ref="A85:F85"/>
    <mergeCell ref="A74:F74"/>
    <mergeCell ref="A75:F75"/>
    <mergeCell ref="A77:F77"/>
    <mergeCell ref="A78:F78"/>
    <mergeCell ref="A79:F79"/>
    <mergeCell ref="A68:F68"/>
    <mergeCell ref="A70:F70"/>
    <mergeCell ref="A71:F71"/>
    <mergeCell ref="A72:F72"/>
    <mergeCell ref="A73:F73"/>
    <mergeCell ref="A62:F62"/>
    <mergeCell ref="A63:F63"/>
    <mergeCell ref="A64:F64"/>
    <mergeCell ref="A65:F65"/>
    <mergeCell ref="A66:F66"/>
    <mergeCell ref="A67:F67"/>
    <mergeCell ref="A56:F56"/>
    <mergeCell ref="A57:F57"/>
    <mergeCell ref="A58:F58"/>
    <mergeCell ref="A59:F59"/>
    <mergeCell ref="A60:F60"/>
    <mergeCell ref="A61:F61"/>
    <mergeCell ref="A50:F50"/>
    <mergeCell ref="A51:F51"/>
    <mergeCell ref="A52:F52"/>
    <mergeCell ref="A53:F53"/>
    <mergeCell ref="A54:F54"/>
    <mergeCell ref="A55:F55"/>
    <mergeCell ref="A44:F44"/>
    <mergeCell ref="A45:F45"/>
    <mergeCell ref="A46:F46"/>
    <mergeCell ref="A47:F47"/>
    <mergeCell ref="A48:F48"/>
    <mergeCell ref="A49:F49"/>
    <mergeCell ref="A38:F38"/>
    <mergeCell ref="A39:F39"/>
    <mergeCell ref="A40:F40"/>
    <mergeCell ref="A41:F41"/>
    <mergeCell ref="A42:F42"/>
    <mergeCell ref="A43:F43"/>
    <mergeCell ref="A32:F32"/>
    <mergeCell ref="A33:F33"/>
    <mergeCell ref="A34:F34"/>
    <mergeCell ref="A35:F35"/>
    <mergeCell ref="A36:F36"/>
    <mergeCell ref="A37:F37"/>
    <mergeCell ref="A26:F26"/>
    <mergeCell ref="A27:F27"/>
    <mergeCell ref="A28:F28"/>
    <mergeCell ref="A29:F29"/>
    <mergeCell ref="A30:F30"/>
    <mergeCell ref="A31:F31"/>
    <mergeCell ref="A1:I1"/>
    <mergeCell ref="A2:I2"/>
    <mergeCell ref="A7:F7"/>
    <mergeCell ref="A20:F20"/>
    <mergeCell ref="A21:F21"/>
    <mergeCell ref="A22:F22"/>
    <mergeCell ref="A23:F23"/>
    <mergeCell ref="A24:F24"/>
    <mergeCell ref="A25:F25"/>
    <mergeCell ref="A17:F17"/>
    <mergeCell ref="A18:F18"/>
    <mergeCell ref="A19:F19"/>
    <mergeCell ref="A14:F14"/>
    <mergeCell ref="A15:F15"/>
    <mergeCell ref="A16:F16"/>
    <mergeCell ref="A8:F8"/>
    <mergeCell ref="A9:F9"/>
    <mergeCell ref="A10:F10"/>
    <mergeCell ref="A11:F11"/>
    <mergeCell ref="A12:F12"/>
    <mergeCell ref="A13:F13"/>
  </mergeCells>
  <dataValidations count="4">
    <dataValidation type="whole" operator="greaterThanOrEqual" allowBlank="1" showInputMessage="1" showErrorMessage="1" errorTitle="Incorrect entry" error="You can enter only positive whole numbers" sqref="H82:K83 H78:K79" xr:uid="{00000000-0002-0000-0200-000000000000}">
      <formula1>0</formula1>
    </dataValidation>
    <dataValidation type="whole" operator="notEqual" allowBlank="1" showInputMessage="1" showErrorMessage="1" errorTitle="Incorrect entry" error="You can enter only whole numbers" sqref="H80:K81 H77:K77" xr:uid="{00000000-0002-0000-0200-000001000000}">
      <formula1>999999999999</formula1>
    </dataValidation>
    <dataValidation type="whole" operator="notEqual" allowBlank="1" showInputMessage="1" showErrorMessage="1" errorTitle="Pogrešan upis" error="Dopušten je upis samo cjelobrojnih vrijednosti" sqref="H15:K15 H26:K35 H54:K54 H62:K62 H65:K66 H70:K70 H73:K73 H85:K87 H89:K109 H111:K113" xr:uid="{CB78F6CF-9253-4ECF-98D3-595FB6B17F90}">
      <formula1>999999999999</formula1>
    </dataValidation>
    <dataValidation type="whole" operator="greaterThanOrEqual" allowBlank="1" showInputMessage="1" showErrorMessage="1" errorTitle="Pogrešan upis" error="Dopušten je upis samo pozitivnih cjelobrojnih vrijednosti" sqref="H16:K25 H55:K61 H8:K14 H36:K53 H63:K64 H67:K68 H71:K72 H74:K75" xr:uid="{A8E77DC2-8913-43AA-B978-295BF952358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0" zoomScaleNormal="100" zoomScaleSheetLayoutView="80" workbookViewId="0">
      <selection activeCell="A4" sqref="A4:I4"/>
    </sheetView>
  </sheetViews>
  <sheetFormatPr defaultRowHeight="14" x14ac:dyDescent="0.3"/>
  <cols>
    <col min="6" max="6" width="17.69921875" customWidth="1"/>
    <col min="8" max="9" width="16.19921875" customWidth="1"/>
  </cols>
  <sheetData>
    <row r="1" spans="1:9" x14ac:dyDescent="0.3">
      <c r="A1" s="227" t="s">
        <v>258</v>
      </c>
      <c r="B1" s="197"/>
      <c r="C1" s="197"/>
      <c r="D1" s="197"/>
      <c r="E1" s="197"/>
      <c r="F1" s="197"/>
      <c r="G1" s="197"/>
      <c r="H1" s="197"/>
      <c r="I1" s="197"/>
    </row>
    <row r="2" spans="1:9" x14ac:dyDescent="0.3">
      <c r="A2" s="228" t="s">
        <v>475</v>
      </c>
      <c r="B2" s="197"/>
      <c r="C2" s="197"/>
      <c r="D2" s="197"/>
      <c r="E2" s="197"/>
      <c r="F2" s="197"/>
      <c r="G2" s="197"/>
      <c r="H2" s="197"/>
      <c r="I2" s="197"/>
    </row>
    <row r="3" spans="1:9" x14ac:dyDescent="0.3">
      <c r="A3" s="265" t="s">
        <v>41</v>
      </c>
      <c r="B3" s="266"/>
      <c r="C3" s="266"/>
      <c r="D3" s="266"/>
      <c r="E3" s="266"/>
      <c r="F3" s="266"/>
      <c r="G3" s="266"/>
      <c r="H3" s="266"/>
      <c r="I3" s="266"/>
    </row>
    <row r="4" spans="1:9" x14ac:dyDescent="0.3">
      <c r="A4" s="267" t="s">
        <v>474</v>
      </c>
      <c r="B4" s="200"/>
      <c r="C4" s="200"/>
      <c r="D4" s="200"/>
      <c r="E4" s="200"/>
      <c r="F4" s="200"/>
      <c r="G4" s="200"/>
      <c r="H4" s="200"/>
      <c r="I4" s="201"/>
    </row>
    <row r="5" spans="1:9" ht="22.05" thickBot="1" x14ac:dyDescent="0.35">
      <c r="A5" s="268" t="s">
        <v>42</v>
      </c>
      <c r="B5" s="269"/>
      <c r="C5" s="269"/>
      <c r="D5" s="269"/>
      <c r="E5" s="269"/>
      <c r="F5" s="270"/>
      <c r="G5" s="17" t="s">
        <v>259</v>
      </c>
      <c r="H5" s="8" t="s">
        <v>156</v>
      </c>
      <c r="I5" s="8" t="s">
        <v>157</v>
      </c>
    </row>
    <row r="6" spans="1:9" x14ac:dyDescent="0.3">
      <c r="A6" s="262">
        <v>1</v>
      </c>
      <c r="B6" s="263"/>
      <c r="C6" s="263"/>
      <c r="D6" s="263"/>
      <c r="E6" s="263"/>
      <c r="F6" s="264"/>
      <c r="G6" s="10">
        <v>2</v>
      </c>
      <c r="H6" s="10" t="s">
        <v>260</v>
      </c>
      <c r="I6" s="10" t="s">
        <v>261</v>
      </c>
    </row>
    <row r="7" spans="1:9" x14ac:dyDescent="0.3">
      <c r="A7" s="274" t="s">
        <v>262</v>
      </c>
      <c r="B7" s="275"/>
      <c r="C7" s="275"/>
      <c r="D7" s="275"/>
      <c r="E7" s="275"/>
      <c r="F7" s="275"/>
      <c r="G7" s="275"/>
      <c r="H7" s="275"/>
      <c r="I7" s="276"/>
    </row>
    <row r="8" spans="1:9" x14ac:dyDescent="0.3">
      <c r="A8" s="277" t="s">
        <v>263</v>
      </c>
      <c r="B8" s="278"/>
      <c r="C8" s="278"/>
      <c r="D8" s="278"/>
      <c r="E8" s="278"/>
      <c r="F8" s="279"/>
      <c r="G8" s="18">
        <v>1</v>
      </c>
      <c r="H8" s="50"/>
      <c r="I8" s="50"/>
    </row>
    <row r="9" spans="1:9" x14ac:dyDescent="0.3">
      <c r="A9" s="280" t="s">
        <v>264</v>
      </c>
      <c r="B9" s="281"/>
      <c r="C9" s="281"/>
      <c r="D9" s="281"/>
      <c r="E9" s="281"/>
      <c r="F9" s="282"/>
      <c r="G9" s="4">
        <v>2</v>
      </c>
      <c r="H9" s="19">
        <f>H10+H11+H12+H13+H14+H15+H16+H17</f>
        <v>0</v>
      </c>
      <c r="I9" s="19">
        <f>I10+I11+I12+I13+I14+I15+I16+I17</f>
        <v>0</v>
      </c>
    </row>
    <row r="10" spans="1:9" x14ac:dyDescent="0.3">
      <c r="A10" s="283" t="s">
        <v>265</v>
      </c>
      <c r="B10" s="284"/>
      <c r="C10" s="284"/>
      <c r="D10" s="284"/>
      <c r="E10" s="284"/>
      <c r="F10" s="285"/>
      <c r="G10" s="14">
        <v>3</v>
      </c>
      <c r="H10" s="49"/>
      <c r="I10" s="49"/>
    </row>
    <row r="11" spans="1:9" ht="19.75" customHeight="1" x14ac:dyDescent="0.3">
      <c r="A11" s="283" t="s">
        <v>266</v>
      </c>
      <c r="B11" s="284"/>
      <c r="C11" s="284"/>
      <c r="D11" s="284"/>
      <c r="E11" s="284"/>
      <c r="F11" s="285"/>
      <c r="G11" s="14">
        <v>4</v>
      </c>
      <c r="H11" s="49"/>
      <c r="I11" s="49"/>
    </row>
    <row r="12" spans="1:9" ht="19.75" customHeight="1" x14ac:dyDescent="0.3">
      <c r="A12" s="283" t="s">
        <v>267</v>
      </c>
      <c r="B12" s="284"/>
      <c r="C12" s="284"/>
      <c r="D12" s="284"/>
      <c r="E12" s="284"/>
      <c r="F12" s="285"/>
      <c r="G12" s="14">
        <v>5</v>
      </c>
      <c r="H12" s="49"/>
      <c r="I12" s="49"/>
    </row>
    <row r="13" spans="1:9" x14ac:dyDescent="0.3">
      <c r="A13" s="283" t="s">
        <v>268</v>
      </c>
      <c r="B13" s="284"/>
      <c r="C13" s="284"/>
      <c r="D13" s="284"/>
      <c r="E13" s="284"/>
      <c r="F13" s="285"/>
      <c r="G13" s="14">
        <v>6</v>
      </c>
      <c r="H13" s="49"/>
      <c r="I13" s="49"/>
    </row>
    <row r="14" spans="1:9" x14ac:dyDescent="0.3">
      <c r="A14" s="283" t="s">
        <v>269</v>
      </c>
      <c r="B14" s="284"/>
      <c r="C14" s="284"/>
      <c r="D14" s="284"/>
      <c r="E14" s="284"/>
      <c r="F14" s="285"/>
      <c r="G14" s="14">
        <v>7</v>
      </c>
      <c r="H14" s="49"/>
      <c r="I14" s="49"/>
    </row>
    <row r="15" spans="1:9" x14ac:dyDescent="0.3">
      <c r="A15" s="283" t="s">
        <v>270</v>
      </c>
      <c r="B15" s="284"/>
      <c r="C15" s="284"/>
      <c r="D15" s="284"/>
      <c r="E15" s="284"/>
      <c r="F15" s="285"/>
      <c r="G15" s="14">
        <v>8</v>
      </c>
      <c r="H15" s="49"/>
      <c r="I15" s="49"/>
    </row>
    <row r="16" spans="1:9" x14ac:dyDescent="0.3">
      <c r="A16" s="283" t="s">
        <v>271</v>
      </c>
      <c r="B16" s="284"/>
      <c r="C16" s="284"/>
      <c r="D16" s="284"/>
      <c r="E16" s="284"/>
      <c r="F16" s="285"/>
      <c r="G16" s="14">
        <v>9</v>
      </c>
      <c r="H16" s="49"/>
      <c r="I16" s="49"/>
    </row>
    <row r="17" spans="1:9" x14ac:dyDescent="0.3">
      <c r="A17" s="283" t="s">
        <v>272</v>
      </c>
      <c r="B17" s="284"/>
      <c r="C17" s="284"/>
      <c r="D17" s="284"/>
      <c r="E17" s="284"/>
      <c r="F17" s="285"/>
      <c r="G17" s="14">
        <v>10</v>
      </c>
      <c r="H17" s="49"/>
      <c r="I17" s="49"/>
    </row>
    <row r="18" spans="1:9" ht="25.8" customHeight="1" x14ac:dyDescent="0.3">
      <c r="A18" s="271" t="s">
        <v>273</v>
      </c>
      <c r="B18" s="272"/>
      <c r="C18" s="272"/>
      <c r="D18" s="272"/>
      <c r="E18" s="272"/>
      <c r="F18" s="273"/>
      <c r="G18" s="4">
        <v>11</v>
      </c>
      <c r="H18" s="19">
        <f>H8+H9</f>
        <v>0</v>
      </c>
      <c r="I18" s="19">
        <f>I8+I9</f>
        <v>0</v>
      </c>
    </row>
    <row r="19" spans="1:9" x14ac:dyDescent="0.3">
      <c r="A19" s="280" t="s">
        <v>274</v>
      </c>
      <c r="B19" s="281"/>
      <c r="C19" s="281"/>
      <c r="D19" s="281"/>
      <c r="E19" s="281"/>
      <c r="F19" s="282"/>
      <c r="G19" s="4">
        <v>12</v>
      </c>
      <c r="H19" s="19">
        <f>H20+H21+H22+H23</f>
        <v>0</v>
      </c>
      <c r="I19" s="19">
        <f>I20+I21+I22+I23</f>
        <v>0</v>
      </c>
    </row>
    <row r="20" spans="1:9" x14ac:dyDescent="0.3">
      <c r="A20" s="283" t="s">
        <v>275</v>
      </c>
      <c r="B20" s="284"/>
      <c r="C20" s="284"/>
      <c r="D20" s="284"/>
      <c r="E20" s="284"/>
      <c r="F20" s="285"/>
      <c r="G20" s="14">
        <v>13</v>
      </c>
      <c r="H20" s="51"/>
      <c r="I20" s="51"/>
    </row>
    <row r="21" spans="1:9" x14ac:dyDescent="0.3">
      <c r="A21" s="283" t="s">
        <v>276</v>
      </c>
      <c r="B21" s="284"/>
      <c r="C21" s="284"/>
      <c r="D21" s="284"/>
      <c r="E21" s="284"/>
      <c r="F21" s="285"/>
      <c r="G21" s="14">
        <v>14</v>
      </c>
      <c r="H21" s="51"/>
      <c r="I21" s="51"/>
    </row>
    <row r="22" spans="1:9" x14ac:dyDescent="0.3">
      <c r="A22" s="283" t="s">
        <v>277</v>
      </c>
      <c r="B22" s="284"/>
      <c r="C22" s="284"/>
      <c r="D22" s="284"/>
      <c r="E22" s="284"/>
      <c r="F22" s="285"/>
      <c r="G22" s="14">
        <v>15</v>
      </c>
      <c r="H22" s="51"/>
      <c r="I22" s="51"/>
    </row>
    <row r="23" spans="1:9" x14ac:dyDescent="0.3">
      <c r="A23" s="283" t="s">
        <v>278</v>
      </c>
      <c r="B23" s="284"/>
      <c r="C23" s="284"/>
      <c r="D23" s="284"/>
      <c r="E23" s="284"/>
      <c r="F23" s="285"/>
      <c r="G23" s="14">
        <v>16</v>
      </c>
      <c r="H23" s="51"/>
      <c r="I23" s="51"/>
    </row>
    <row r="24" spans="1:9" x14ac:dyDescent="0.3">
      <c r="A24" s="271" t="s">
        <v>279</v>
      </c>
      <c r="B24" s="272"/>
      <c r="C24" s="272"/>
      <c r="D24" s="272"/>
      <c r="E24" s="272"/>
      <c r="F24" s="273"/>
      <c r="G24" s="4">
        <v>17</v>
      </c>
      <c r="H24" s="19">
        <f>H18+H19</f>
        <v>0</v>
      </c>
      <c r="I24" s="19">
        <f>I18+I19</f>
        <v>0</v>
      </c>
    </row>
    <row r="25" spans="1:9" x14ac:dyDescent="0.3">
      <c r="A25" s="286" t="s">
        <v>280</v>
      </c>
      <c r="B25" s="287"/>
      <c r="C25" s="287"/>
      <c r="D25" s="287"/>
      <c r="E25" s="287"/>
      <c r="F25" s="288"/>
      <c r="G25" s="14">
        <v>18</v>
      </c>
      <c r="H25" s="51"/>
      <c r="I25" s="51"/>
    </row>
    <row r="26" spans="1:9" x14ac:dyDescent="0.3">
      <c r="A26" s="286" t="s">
        <v>281</v>
      </c>
      <c r="B26" s="287"/>
      <c r="C26" s="287"/>
      <c r="D26" s="287"/>
      <c r="E26" s="287"/>
      <c r="F26" s="288"/>
      <c r="G26" s="14">
        <v>19</v>
      </c>
      <c r="H26" s="51"/>
      <c r="I26" s="51"/>
    </row>
    <row r="27" spans="1:9" x14ac:dyDescent="0.3">
      <c r="A27" s="289" t="s">
        <v>282</v>
      </c>
      <c r="B27" s="290"/>
      <c r="C27" s="290"/>
      <c r="D27" s="290"/>
      <c r="E27" s="290"/>
      <c r="F27" s="291"/>
      <c r="G27" s="12">
        <v>20</v>
      </c>
      <c r="H27" s="20">
        <f>H24+H25+H26</f>
        <v>0</v>
      </c>
      <c r="I27" s="20">
        <f>I24+I25+I26</f>
        <v>0</v>
      </c>
    </row>
    <row r="28" spans="1:9" x14ac:dyDescent="0.3">
      <c r="A28" s="274" t="s">
        <v>283</v>
      </c>
      <c r="B28" s="275"/>
      <c r="C28" s="275"/>
      <c r="D28" s="275"/>
      <c r="E28" s="275"/>
      <c r="F28" s="275"/>
      <c r="G28" s="275"/>
      <c r="H28" s="275"/>
      <c r="I28" s="276"/>
    </row>
    <row r="29" spans="1:9" x14ac:dyDescent="0.3">
      <c r="A29" s="277" t="s">
        <v>284</v>
      </c>
      <c r="B29" s="278"/>
      <c r="C29" s="278"/>
      <c r="D29" s="278"/>
      <c r="E29" s="278"/>
      <c r="F29" s="279"/>
      <c r="G29" s="18">
        <v>21</v>
      </c>
      <c r="H29" s="49"/>
      <c r="I29" s="49"/>
    </row>
    <row r="30" spans="1:9" x14ac:dyDescent="0.3">
      <c r="A30" s="286" t="s">
        <v>285</v>
      </c>
      <c r="B30" s="287"/>
      <c r="C30" s="287"/>
      <c r="D30" s="287"/>
      <c r="E30" s="287"/>
      <c r="F30" s="288"/>
      <c r="G30" s="14">
        <v>22</v>
      </c>
      <c r="H30" s="49"/>
      <c r="I30" s="49"/>
    </row>
    <row r="31" spans="1:9" x14ac:dyDescent="0.3">
      <c r="A31" s="286" t="s">
        <v>286</v>
      </c>
      <c r="B31" s="287"/>
      <c r="C31" s="287"/>
      <c r="D31" s="287"/>
      <c r="E31" s="287"/>
      <c r="F31" s="288"/>
      <c r="G31" s="14">
        <v>23</v>
      </c>
      <c r="H31" s="49"/>
      <c r="I31" s="49"/>
    </row>
    <row r="32" spans="1:9" x14ac:dyDescent="0.3">
      <c r="A32" s="286" t="s">
        <v>287</v>
      </c>
      <c r="B32" s="287"/>
      <c r="C32" s="287"/>
      <c r="D32" s="287"/>
      <c r="E32" s="287"/>
      <c r="F32" s="288"/>
      <c r="G32" s="14">
        <v>24</v>
      </c>
      <c r="H32" s="49"/>
      <c r="I32" s="49"/>
    </row>
    <row r="33" spans="1:9" x14ac:dyDescent="0.3">
      <c r="A33" s="286" t="s">
        <v>288</v>
      </c>
      <c r="B33" s="287"/>
      <c r="C33" s="287"/>
      <c r="D33" s="287"/>
      <c r="E33" s="287"/>
      <c r="F33" s="288"/>
      <c r="G33" s="14">
        <v>25</v>
      </c>
      <c r="H33" s="49"/>
      <c r="I33" s="49"/>
    </row>
    <row r="34" spans="1:9" x14ac:dyDescent="0.3">
      <c r="A34" s="286" t="s">
        <v>289</v>
      </c>
      <c r="B34" s="287"/>
      <c r="C34" s="287"/>
      <c r="D34" s="287"/>
      <c r="E34" s="287"/>
      <c r="F34" s="288"/>
      <c r="G34" s="14">
        <v>26</v>
      </c>
      <c r="H34" s="49"/>
      <c r="I34" s="49"/>
    </row>
    <row r="35" spans="1:9" x14ac:dyDescent="0.3">
      <c r="A35" s="271" t="s">
        <v>290</v>
      </c>
      <c r="B35" s="272"/>
      <c r="C35" s="272"/>
      <c r="D35" s="272"/>
      <c r="E35" s="272"/>
      <c r="F35" s="273"/>
      <c r="G35" s="4">
        <v>27</v>
      </c>
      <c r="H35" s="15">
        <f>H29+H30+H31+H32+H33+H34</f>
        <v>0</v>
      </c>
      <c r="I35" s="15">
        <f>I29+I30+I31+I32+I33+I34</f>
        <v>0</v>
      </c>
    </row>
    <row r="36" spans="1:9" x14ac:dyDescent="0.3">
      <c r="A36" s="286" t="s">
        <v>291</v>
      </c>
      <c r="B36" s="287"/>
      <c r="C36" s="287"/>
      <c r="D36" s="287"/>
      <c r="E36" s="287"/>
      <c r="F36" s="288"/>
      <c r="G36" s="14">
        <v>28</v>
      </c>
      <c r="H36" s="49"/>
      <c r="I36" s="49"/>
    </row>
    <row r="37" spans="1:9" x14ac:dyDescent="0.3">
      <c r="A37" s="286" t="s">
        <v>292</v>
      </c>
      <c r="B37" s="287"/>
      <c r="C37" s="287"/>
      <c r="D37" s="287"/>
      <c r="E37" s="287"/>
      <c r="F37" s="288"/>
      <c r="G37" s="14">
        <v>29</v>
      </c>
      <c r="H37" s="49"/>
      <c r="I37" s="49"/>
    </row>
    <row r="38" spans="1:9" x14ac:dyDescent="0.3">
      <c r="A38" s="286" t="s">
        <v>293</v>
      </c>
      <c r="B38" s="287"/>
      <c r="C38" s="287"/>
      <c r="D38" s="287"/>
      <c r="E38" s="287"/>
      <c r="F38" s="288"/>
      <c r="G38" s="14">
        <v>30</v>
      </c>
      <c r="H38" s="49"/>
      <c r="I38" s="49"/>
    </row>
    <row r="39" spans="1:9" x14ac:dyDescent="0.3">
      <c r="A39" s="286" t="s">
        <v>294</v>
      </c>
      <c r="B39" s="287"/>
      <c r="C39" s="287"/>
      <c r="D39" s="287"/>
      <c r="E39" s="287"/>
      <c r="F39" s="288"/>
      <c r="G39" s="14">
        <v>31</v>
      </c>
      <c r="H39" s="49"/>
      <c r="I39" s="49"/>
    </row>
    <row r="40" spans="1:9" x14ac:dyDescent="0.3">
      <c r="A40" s="286" t="s">
        <v>295</v>
      </c>
      <c r="B40" s="287"/>
      <c r="C40" s="287"/>
      <c r="D40" s="287"/>
      <c r="E40" s="287"/>
      <c r="F40" s="288"/>
      <c r="G40" s="14">
        <v>32</v>
      </c>
      <c r="H40" s="49"/>
      <c r="I40" s="49"/>
    </row>
    <row r="41" spans="1:9" x14ac:dyDescent="0.3">
      <c r="A41" s="271" t="s">
        <v>296</v>
      </c>
      <c r="B41" s="272"/>
      <c r="C41" s="272"/>
      <c r="D41" s="272"/>
      <c r="E41" s="272"/>
      <c r="F41" s="273"/>
      <c r="G41" s="4">
        <v>33</v>
      </c>
      <c r="H41" s="15">
        <f>H36+H37+H38+H39+H40</f>
        <v>0</v>
      </c>
      <c r="I41" s="15">
        <f>I36+I37+I38+I39+I40</f>
        <v>0</v>
      </c>
    </row>
    <row r="42" spans="1:9" x14ac:dyDescent="0.3">
      <c r="A42" s="289" t="s">
        <v>297</v>
      </c>
      <c r="B42" s="290"/>
      <c r="C42" s="290"/>
      <c r="D42" s="290"/>
      <c r="E42" s="290"/>
      <c r="F42" s="291"/>
      <c r="G42" s="12">
        <v>34</v>
      </c>
      <c r="H42" s="16">
        <f>H35+H41</f>
        <v>0</v>
      </c>
      <c r="I42" s="16">
        <f>I35+I41</f>
        <v>0</v>
      </c>
    </row>
    <row r="43" spans="1:9" x14ac:dyDescent="0.3">
      <c r="A43" s="274" t="s">
        <v>298</v>
      </c>
      <c r="B43" s="275"/>
      <c r="C43" s="275"/>
      <c r="D43" s="275"/>
      <c r="E43" s="275"/>
      <c r="F43" s="275"/>
      <c r="G43" s="275"/>
      <c r="H43" s="275"/>
      <c r="I43" s="276"/>
    </row>
    <row r="44" spans="1:9" x14ac:dyDescent="0.3">
      <c r="A44" s="277" t="s">
        <v>299</v>
      </c>
      <c r="B44" s="278"/>
      <c r="C44" s="278"/>
      <c r="D44" s="278"/>
      <c r="E44" s="278"/>
      <c r="F44" s="279"/>
      <c r="G44" s="18">
        <v>35</v>
      </c>
      <c r="H44" s="52"/>
      <c r="I44" s="52"/>
    </row>
    <row r="45" spans="1:9" ht="25.8" customHeight="1" x14ac:dyDescent="0.3">
      <c r="A45" s="286" t="s">
        <v>300</v>
      </c>
      <c r="B45" s="287"/>
      <c r="C45" s="287"/>
      <c r="D45" s="287"/>
      <c r="E45" s="287"/>
      <c r="F45" s="288"/>
      <c r="G45" s="14">
        <v>36</v>
      </c>
      <c r="H45" s="49"/>
      <c r="I45" s="49"/>
    </row>
    <row r="46" spans="1:9" x14ac:dyDescent="0.3">
      <c r="A46" s="286" t="s">
        <v>301</v>
      </c>
      <c r="B46" s="287"/>
      <c r="C46" s="287"/>
      <c r="D46" s="287"/>
      <c r="E46" s="287"/>
      <c r="F46" s="288"/>
      <c r="G46" s="14">
        <v>37</v>
      </c>
      <c r="H46" s="49"/>
      <c r="I46" s="49"/>
    </row>
    <row r="47" spans="1:9" x14ac:dyDescent="0.3">
      <c r="A47" s="286" t="s">
        <v>302</v>
      </c>
      <c r="B47" s="287"/>
      <c r="C47" s="287"/>
      <c r="D47" s="287"/>
      <c r="E47" s="287"/>
      <c r="F47" s="288"/>
      <c r="G47" s="14">
        <v>38</v>
      </c>
      <c r="H47" s="49"/>
      <c r="I47" s="49"/>
    </row>
    <row r="48" spans="1:9" x14ac:dyDescent="0.3">
      <c r="A48" s="271" t="s">
        <v>303</v>
      </c>
      <c r="B48" s="272"/>
      <c r="C48" s="272"/>
      <c r="D48" s="272"/>
      <c r="E48" s="272"/>
      <c r="F48" s="273"/>
      <c r="G48" s="4">
        <v>39</v>
      </c>
      <c r="H48" s="15">
        <f>H44+H45+H46+H47</f>
        <v>0</v>
      </c>
      <c r="I48" s="15">
        <f>I44+I45+I46+I47</f>
        <v>0</v>
      </c>
    </row>
    <row r="49" spans="1:9" ht="27" customHeight="1" x14ac:dyDescent="0.3">
      <c r="A49" s="286" t="s">
        <v>304</v>
      </c>
      <c r="B49" s="287"/>
      <c r="C49" s="287"/>
      <c r="D49" s="287"/>
      <c r="E49" s="287"/>
      <c r="F49" s="288"/>
      <c r="G49" s="14">
        <v>40</v>
      </c>
      <c r="H49" s="49"/>
      <c r="I49" s="49"/>
    </row>
    <row r="50" spans="1:9" x14ac:dyDescent="0.3">
      <c r="A50" s="286" t="s">
        <v>305</v>
      </c>
      <c r="B50" s="287"/>
      <c r="C50" s="287"/>
      <c r="D50" s="287"/>
      <c r="E50" s="287"/>
      <c r="F50" s="288"/>
      <c r="G50" s="14">
        <v>41</v>
      </c>
      <c r="H50" s="49"/>
      <c r="I50" s="49"/>
    </row>
    <row r="51" spans="1:9" x14ac:dyDescent="0.3">
      <c r="A51" s="286" t="s">
        <v>306</v>
      </c>
      <c r="B51" s="287"/>
      <c r="C51" s="287"/>
      <c r="D51" s="287"/>
      <c r="E51" s="287"/>
      <c r="F51" s="288"/>
      <c r="G51" s="14">
        <v>42</v>
      </c>
      <c r="H51" s="49"/>
      <c r="I51" s="49"/>
    </row>
    <row r="52" spans="1:9" ht="25.8" customHeight="1" x14ac:dyDescent="0.3">
      <c r="A52" s="286" t="s">
        <v>307</v>
      </c>
      <c r="B52" s="287"/>
      <c r="C52" s="287"/>
      <c r="D52" s="287"/>
      <c r="E52" s="287"/>
      <c r="F52" s="288"/>
      <c r="G52" s="14">
        <v>43</v>
      </c>
      <c r="H52" s="49"/>
      <c r="I52" s="49"/>
    </row>
    <row r="53" spans="1:9" x14ac:dyDescent="0.3">
      <c r="A53" s="286" t="s">
        <v>308</v>
      </c>
      <c r="B53" s="287"/>
      <c r="C53" s="287"/>
      <c r="D53" s="287"/>
      <c r="E53" s="287"/>
      <c r="F53" s="288"/>
      <c r="G53" s="14">
        <v>44</v>
      </c>
      <c r="H53" s="49"/>
      <c r="I53" s="49"/>
    </row>
    <row r="54" spans="1:9" x14ac:dyDescent="0.3">
      <c r="A54" s="271" t="s">
        <v>309</v>
      </c>
      <c r="B54" s="272"/>
      <c r="C54" s="272"/>
      <c r="D54" s="272"/>
      <c r="E54" s="272"/>
      <c r="F54" s="273"/>
      <c r="G54" s="4">
        <v>45</v>
      </c>
      <c r="H54" s="15">
        <f>H49+H50+H51+H52+H53</f>
        <v>0</v>
      </c>
      <c r="I54" s="15">
        <f>I49+I50+I51+I52+I53</f>
        <v>0</v>
      </c>
    </row>
    <row r="55" spans="1:9" x14ac:dyDescent="0.3">
      <c r="A55" s="292" t="s">
        <v>310</v>
      </c>
      <c r="B55" s="293"/>
      <c r="C55" s="293"/>
      <c r="D55" s="293"/>
      <c r="E55" s="293"/>
      <c r="F55" s="294"/>
      <c r="G55" s="4">
        <v>46</v>
      </c>
      <c r="H55" s="15">
        <f>H48+H54</f>
        <v>0</v>
      </c>
      <c r="I55" s="15">
        <f>I48+I54</f>
        <v>0</v>
      </c>
    </row>
    <row r="56" spans="1:9" x14ac:dyDescent="0.3">
      <c r="A56" s="191" t="s">
        <v>311</v>
      </c>
      <c r="B56" s="192"/>
      <c r="C56" s="192"/>
      <c r="D56" s="192"/>
      <c r="E56" s="192"/>
      <c r="F56" s="193"/>
      <c r="G56" s="14">
        <v>47</v>
      </c>
      <c r="H56" s="49"/>
      <c r="I56" s="49"/>
    </row>
    <row r="57" spans="1:9" x14ac:dyDescent="0.3">
      <c r="A57" s="292" t="s">
        <v>312</v>
      </c>
      <c r="B57" s="293"/>
      <c r="C57" s="293"/>
      <c r="D57" s="293"/>
      <c r="E57" s="293"/>
      <c r="F57" s="294"/>
      <c r="G57" s="4">
        <v>48</v>
      </c>
      <c r="H57" s="15">
        <f>H27+H42+H55+H56</f>
        <v>0</v>
      </c>
      <c r="I57" s="15">
        <f>I27+I42+I55+I56</f>
        <v>0</v>
      </c>
    </row>
    <row r="58" spans="1:9" x14ac:dyDescent="0.3">
      <c r="A58" s="295" t="s">
        <v>313</v>
      </c>
      <c r="B58" s="296"/>
      <c r="C58" s="296"/>
      <c r="D58" s="296"/>
      <c r="E58" s="296"/>
      <c r="F58" s="297"/>
      <c r="G58" s="14">
        <v>49</v>
      </c>
      <c r="H58" s="49"/>
      <c r="I58" s="49"/>
    </row>
    <row r="59" spans="1:9" x14ac:dyDescent="0.3">
      <c r="A59" s="289" t="s">
        <v>314</v>
      </c>
      <c r="B59" s="290"/>
      <c r="C59" s="290"/>
      <c r="D59" s="290"/>
      <c r="E59" s="290"/>
      <c r="F59" s="291"/>
      <c r="G59" s="12">
        <v>50</v>
      </c>
      <c r="H59" s="16">
        <f>H57+H58</f>
        <v>0</v>
      </c>
      <c r="I59" s="16">
        <f>I57+I58</f>
        <v>0</v>
      </c>
    </row>
  </sheetData>
  <mergeCells count="59">
    <mergeCell ref="A55:F55"/>
    <mergeCell ref="A56:F56"/>
    <mergeCell ref="A57:F57"/>
    <mergeCell ref="A58:F58"/>
    <mergeCell ref="A59:F59"/>
    <mergeCell ref="A54:F54"/>
    <mergeCell ref="A43:I43"/>
    <mergeCell ref="A44:F44"/>
    <mergeCell ref="A45:F45"/>
    <mergeCell ref="A46:F46"/>
    <mergeCell ref="A47:F47"/>
    <mergeCell ref="A48:F48"/>
    <mergeCell ref="A49:F49"/>
    <mergeCell ref="A50:F50"/>
    <mergeCell ref="A51:F51"/>
    <mergeCell ref="A52:F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F24"/>
    <mergeCell ref="A25:F25"/>
    <mergeCell ref="A26:F26"/>
    <mergeCell ref="A27:F27"/>
    <mergeCell ref="A28:I28"/>
    <mergeCell ref="A29:F29"/>
    <mergeCell ref="A18:F18"/>
    <mergeCell ref="A7:I7"/>
    <mergeCell ref="A8:F8"/>
    <mergeCell ref="A9:F9"/>
    <mergeCell ref="A10:F10"/>
    <mergeCell ref="A11:F11"/>
    <mergeCell ref="A12:F12"/>
    <mergeCell ref="A13:F13"/>
    <mergeCell ref="A14:F14"/>
    <mergeCell ref="A15:F15"/>
    <mergeCell ref="A16:F16"/>
    <mergeCell ref="A17:F17"/>
    <mergeCell ref="A6:F6"/>
    <mergeCell ref="A1:I1"/>
    <mergeCell ref="A2:I2"/>
    <mergeCell ref="A3:I3"/>
    <mergeCell ref="A4:I4"/>
    <mergeCell ref="A5:F5"/>
  </mergeCells>
  <dataValidations count="3">
    <dataValidation type="whole" operator="greaterThanOrEqual" allowBlank="1" showInputMessage="1" showErrorMessage="1" errorTitle="Incorrect entry" error="You can enter only positive whole numbers or a zero" sqref="H10:I10 H14:I14 H29:I35 H44:I48 H58:I59" xr:uid="{00000000-0002-0000-0300-000000000000}">
      <formula1>0</formula1>
    </dataValidation>
    <dataValidation type="whole" operator="lessThanOrEqual" allowBlank="1" showInputMessage="1" showErrorMessage="1" errorTitle="Incorrect entry" error="You can enter only negative whole numbers or a zero" sqref="H13:I13 H25:I25 H36:I38 H40:I41 H49:I54" xr:uid="{00000000-0002-0000-0300-000001000000}">
      <formula1>0</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0" zoomScaleNormal="100" zoomScaleSheetLayoutView="80" workbookViewId="0">
      <selection activeCell="H38" sqref="H38:I53"/>
    </sheetView>
  </sheetViews>
  <sheetFormatPr defaultRowHeight="14" x14ac:dyDescent="0.3"/>
  <cols>
    <col min="6" max="6" width="17" customWidth="1"/>
    <col min="8" max="9" width="11.296875" customWidth="1"/>
  </cols>
  <sheetData>
    <row r="1" spans="1:9" x14ac:dyDescent="0.3">
      <c r="A1" s="227" t="s">
        <v>315</v>
      </c>
      <c r="B1" s="197"/>
      <c r="C1" s="197"/>
      <c r="D1" s="197"/>
      <c r="E1" s="197"/>
      <c r="F1" s="197"/>
      <c r="G1" s="197"/>
      <c r="H1" s="197"/>
      <c r="I1" s="197"/>
    </row>
    <row r="2" spans="1:9" x14ac:dyDescent="0.3">
      <c r="A2" s="228" t="s">
        <v>487</v>
      </c>
      <c r="B2" s="197"/>
      <c r="C2" s="197"/>
      <c r="D2" s="197"/>
      <c r="E2" s="197"/>
      <c r="F2" s="197"/>
      <c r="G2" s="197"/>
      <c r="H2" s="197"/>
      <c r="I2" s="197"/>
    </row>
    <row r="3" spans="1:9" x14ac:dyDescent="0.3">
      <c r="A3" s="265" t="s">
        <v>41</v>
      </c>
      <c r="B3" s="298"/>
      <c r="C3" s="298"/>
      <c r="D3" s="298"/>
      <c r="E3" s="298"/>
      <c r="F3" s="298"/>
      <c r="G3" s="298"/>
      <c r="H3" s="298"/>
      <c r="I3" s="298"/>
    </row>
    <row r="4" spans="1:9" x14ac:dyDescent="0.3">
      <c r="A4" s="299" t="s">
        <v>474</v>
      </c>
      <c r="B4" s="300"/>
      <c r="C4" s="300"/>
      <c r="D4" s="300"/>
      <c r="E4" s="300"/>
      <c r="F4" s="300"/>
      <c r="G4" s="300"/>
      <c r="H4" s="300"/>
      <c r="I4" s="301"/>
    </row>
    <row r="5" spans="1:9" ht="32.799999999999997" thickBot="1" x14ac:dyDescent="0.35">
      <c r="A5" s="268" t="s">
        <v>42</v>
      </c>
      <c r="B5" s="269"/>
      <c r="C5" s="269"/>
      <c r="D5" s="269"/>
      <c r="E5" s="269"/>
      <c r="F5" s="270"/>
      <c r="G5" s="7" t="s">
        <v>155</v>
      </c>
      <c r="H5" s="8" t="s">
        <v>156</v>
      </c>
      <c r="I5" s="8" t="s">
        <v>157</v>
      </c>
    </row>
    <row r="6" spans="1:9" x14ac:dyDescent="0.3">
      <c r="A6" s="262">
        <v>1</v>
      </c>
      <c r="B6" s="263"/>
      <c r="C6" s="263"/>
      <c r="D6" s="263"/>
      <c r="E6" s="263"/>
      <c r="F6" s="264"/>
      <c r="G6" s="9">
        <v>2</v>
      </c>
      <c r="H6" s="10" t="s">
        <v>260</v>
      </c>
      <c r="I6" s="10" t="s">
        <v>261</v>
      </c>
    </row>
    <row r="7" spans="1:9" x14ac:dyDescent="0.3">
      <c r="A7" s="274" t="s">
        <v>262</v>
      </c>
      <c r="B7" s="302"/>
      <c r="C7" s="302"/>
      <c r="D7" s="302"/>
      <c r="E7" s="302"/>
      <c r="F7" s="302"/>
      <c r="G7" s="302"/>
      <c r="H7" s="302"/>
      <c r="I7" s="303"/>
    </row>
    <row r="8" spans="1:9" x14ac:dyDescent="0.3">
      <c r="A8" s="304" t="s">
        <v>316</v>
      </c>
      <c r="B8" s="304"/>
      <c r="C8" s="304"/>
      <c r="D8" s="304"/>
      <c r="E8" s="304"/>
      <c r="F8" s="304"/>
      <c r="G8" s="21">
        <v>1</v>
      </c>
      <c r="H8" s="356">
        <f>41824244+315201+4880877+5205265+176+8870969-194394-6250+23440+105343+431130-323579-18753+18753</f>
        <v>61132422</v>
      </c>
      <c r="I8" s="356">
        <f>64633652-6336390+19156+7409117+5791851+1180+15544585-1754676-226833-362316+301890+241861+1015360-131769-1071646-56285</f>
        <v>85018737</v>
      </c>
    </row>
    <row r="9" spans="1:9" x14ac:dyDescent="0.3">
      <c r="A9" s="234" t="s">
        <v>317</v>
      </c>
      <c r="B9" s="234"/>
      <c r="C9" s="234"/>
      <c r="D9" s="234"/>
      <c r="E9" s="234"/>
      <c r="F9" s="234"/>
      <c r="G9" s="3">
        <v>2</v>
      </c>
      <c r="H9" s="357">
        <f>194394</f>
        <v>194394</v>
      </c>
      <c r="I9" s="356">
        <v>226833</v>
      </c>
    </row>
    <row r="10" spans="1:9" x14ac:dyDescent="0.3">
      <c r="A10" s="234" t="s">
        <v>318</v>
      </c>
      <c r="B10" s="234"/>
      <c r="C10" s="234"/>
      <c r="D10" s="234"/>
      <c r="E10" s="234"/>
      <c r="F10" s="234"/>
      <c r="G10" s="3">
        <v>3</v>
      </c>
      <c r="H10" s="357">
        <v>111148</v>
      </c>
      <c r="I10" s="356">
        <f>5691+172110</f>
        <v>177801</v>
      </c>
    </row>
    <row r="11" spans="1:9" x14ac:dyDescent="0.3">
      <c r="A11" s="234" t="s">
        <v>319</v>
      </c>
      <c r="B11" s="234"/>
      <c r="C11" s="234"/>
      <c r="D11" s="234"/>
      <c r="E11" s="234"/>
      <c r="F11" s="234"/>
      <c r="G11" s="3">
        <v>4</v>
      </c>
      <c r="H11" s="357">
        <f>394080+915524+45377+400</f>
        <v>1355381</v>
      </c>
      <c r="I11" s="356">
        <f>5139427+1508+38376+250</f>
        <v>5179561</v>
      </c>
    </row>
    <row r="12" spans="1:9" x14ac:dyDescent="0.3">
      <c r="A12" s="234" t="s">
        <v>320</v>
      </c>
      <c r="B12" s="234"/>
      <c r="C12" s="234"/>
      <c r="D12" s="234"/>
      <c r="E12" s="234"/>
      <c r="F12" s="234"/>
      <c r="G12" s="3">
        <v>5</v>
      </c>
      <c r="H12" s="357">
        <f>5835+36500+4494+176622+338783+16568</f>
        <v>578802</v>
      </c>
      <c r="I12" s="356">
        <f>2867+2756+4925+28653+168</f>
        <v>39369</v>
      </c>
    </row>
    <row r="13" spans="1:9" x14ac:dyDescent="0.3">
      <c r="A13" s="238" t="s">
        <v>321</v>
      </c>
      <c r="B13" s="238"/>
      <c r="C13" s="238"/>
      <c r="D13" s="238"/>
      <c r="E13" s="238"/>
      <c r="F13" s="238"/>
      <c r="G13" s="4">
        <v>6</v>
      </c>
      <c r="H13" s="358">
        <f>SUM(H8:H12)</f>
        <v>63372147</v>
      </c>
      <c r="I13" s="358">
        <f>SUM(I8:I12)</f>
        <v>90642301</v>
      </c>
    </row>
    <row r="14" spans="1:9" x14ac:dyDescent="0.3">
      <c r="A14" s="234" t="s">
        <v>322</v>
      </c>
      <c r="B14" s="234"/>
      <c r="C14" s="234"/>
      <c r="D14" s="234"/>
      <c r="E14" s="234"/>
      <c r="F14" s="234"/>
      <c r="G14" s="3">
        <v>7</v>
      </c>
      <c r="H14" s="357">
        <f>-266201-1856649-14751717-132276-2369407-394989-10526-4418874+291772-97597-254571-2479+18753+323579-18753+8567</f>
        <v>-23931368</v>
      </c>
      <c r="I14" s="356">
        <f>-1147130-6129131-21288021-3514508-749642-112555-5598132+321091-117851-51278-2525+131769+1071646+56285</f>
        <v>-37129982</v>
      </c>
    </row>
    <row r="15" spans="1:9" x14ac:dyDescent="0.3">
      <c r="A15" s="234" t="s">
        <v>323</v>
      </c>
      <c r="B15" s="234"/>
      <c r="C15" s="234"/>
      <c r="D15" s="234"/>
      <c r="E15" s="234"/>
      <c r="F15" s="234"/>
      <c r="G15" s="3">
        <v>8</v>
      </c>
      <c r="H15" s="357">
        <f>-2561087-12000</f>
        <v>-2573087</v>
      </c>
      <c r="I15" s="356">
        <f>-3453751-1476-19929</f>
        <v>-3475156</v>
      </c>
    </row>
    <row r="16" spans="1:9" x14ac:dyDescent="0.3">
      <c r="A16" s="234" t="s">
        <v>324</v>
      </c>
      <c r="B16" s="234"/>
      <c r="C16" s="234"/>
      <c r="D16" s="234"/>
      <c r="E16" s="234"/>
      <c r="F16" s="234"/>
      <c r="G16" s="3">
        <v>9</v>
      </c>
      <c r="H16" s="357">
        <f>-291772-2533</f>
        <v>-294305</v>
      </c>
      <c r="I16" s="356">
        <v>-321091</v>
      </c>
    </row>
    <row r="17" spans="1:9" x14ac:dyDescent="0.3">
      <c r="A17" s="234" t="s">
        <v>325</v>
      </c>
      <c r="B17" s="234"/>
      <c r="C17" s="234"/>
      <c r="D17" s="234"/>
      <c r="E17" s="234"/>
      <c r="F17" s="234"/>
      <c r="G17" s="3">
        <v>10</v>
      </c>
      <c r="H17" s="357">
        <f>-178125-340382-339894</f>
        <v>-858401</v>
      </c>
      <c r="I17" s="356">
        <v>-714022</v>
      </c>
    </row>
    <row r="18" spans="1:9" x14ac:dyDescent="0.3">
      <c r="A18" s="234" t="s">
        <v>326</v>
      </c>
      <c r="B18" s="234"/>
      <c r="C18" s="234"/>
      <c r="D18" s="234"/>
      <c r="E18" s="234"/>
      <c r="F18" s="234"/>
      <c r="G18" s="3">
        <v>11</v>
      </c>
      <c r="H18" s="357"/>
      <c r="I18" s="356"/>
    </row>
    <row r="19" spans="1:9" x14ac:dyDescent="0.3">
      <c r="A19" s="234" t="s">
        <v>327</v>
      </c>
      <c r="B19" s="234"/>
      <c r="C19" s="234"/>
      <c r="D19" s="234"/>
      <c r="E19" s="234"/>
      <c r="F19" s="234"/>
      <c r="G19" s="3">
        <v>12</v>
      </c>
      <c r="H19" s="357">
        <f>-72509-9000-4614129-2678962-174860-296382-11607-243409-546-188592</f>
        <v>-8289996</v>
      </c>
      <c r="I19" s="356">
        <f>-205311-113144-5157741-3535872-149909-2839-414092-39482-29290-222678</f>
        <v>-9870358</v>
      </c>
    </row>
    <row r="20" spans="1:9" x14ac:dyDescent="0.3">
      <c r="A20" s="305" t="s">
        <v>328</v>
      </c>
      <c r="B20" s="306"/>
      <c r="C20" s="306"/>
      <c r="D20" s="306"/>
      <c r="E20" s="306"/>
      <c r="F20" s="306"/>
      <c r="G20" s="12">
        <v>13</v>
      </c>
      <c r="H20" s="358">
        <f>SUM(H14:H19)</f>
        <v>-35947157</v>
      </c>
      <c r="I20" s="358">
        <f>SUM(I14:I19)</f>
        <v>-51510609</v>
      </c>
    </row>
    <row r="21" spans="1:9" ht="23.4" customHeight="1" x14ac:dyDescent="0.3">
      <c r="A21" s="305" t="s">
        <v>329</v>
      </c>
      <c r="B21" s="306"/>
      <c r="C21" s="306"/>
      <c r="D21" s="306"/>
      <c r="E21" s="306"/>
      <c r="F21" s="306"/>
      <c r="G21" s="12">
        <v>14</v>
      </c>
      <c r="H21" s="359">
        <f>H13+H20</f>
        <v>27424990</v>
      </c>
      <c r="I21" s="359">
        <f>I13+I20</f>
        <v>39131692</v>
      </c>
    </row>
    <row r="22" spans="1:9" x14ac:dyDescent="0.3">
      <c r="A22" s="274" t="s">
        <v>283</v>
      </c>
      <c r="B22" s="302"/>
      <c r="C22" s="302"/>
      <c r="D22" s="302"/>
      <c r="E22" s="302"/>
      <c r="F22" s="302"/>
      <c r="G22" s="302"/>
      <c r="H22" s="302"/>
      <c r="I22" s="303"/>
    </row>
    <row r="23" spans="1:9" x14ac:dyDescent="0.3">
      <c r="A23" s="304" t="s">
        <v>330</v>
      </c>
      <c r="B23" s="304"/>
      <c r="C23" s="304"/>
      <c r="D23" s="304"/>
      <c r="E23" s="304"/>
      <c r="F23" s="304"/>
      <c r="G23" s="21">
        <v>15</v>
      </c>
      <c r="H23" s="356">
        <v>6250</v>
      </c>
      <c r="I23" s="356">
        <v>362316</v>
      </c>
    </row>
    <row r="24" spans="1:9" x14ac:dyDescent="0.3">
      <c r="A24" s="234" t="s">
        <v>331</v>
      </c>
      <c r="B24" s="234"/>
      <c r="C24" s="234"/>
      <c r="D24" s="234"/>
      <c r="E24" s="234"/>
      <c r="F24" s="234"/>
      <c r="G24" s="21">
        <v>16</v>
      </c>
      <c r="H24" s="357"/>
      <c r="I24" s="356"/>
    </row>
    <row r="25" spans="1:9" x14ac:dyDescent="0.3">
      <c r="A25" s="234" t="s">
        <v>332</v>
      </c>
      <c r="B25" s="234"/>
      <c r="C25" s="234"/>
      <c r="D25" s="234"/>
      <c r="E25" s="234"/>
      <c r="F25" s="234"/>
      <c r="G25" s="21">
        <v>17</v>
      </c>
      <c r="H25" s="357">
        <f>10828+23347+2+2</f>
        <v>34179</v>
      </c>
      <c r="I25" s="356">
        <f>9113+6108+55733+24+6</f>
        <v>70984</v>
      </c>
    </row>
    <row r="26" spans="1:9" x14ac:dyDescent="0.3">
      <c r="A26" s="234" t="s">
        <v>333</v>
      </c>
      <c r="B26" s="234"/>
      <c r="C26" s="234"/>
      <c r="D26" s="234"/>
      <c r="E26" s="234"/>
      <c r="F26" s="234"/>
      <c r="G26" s="21">
        <v>18</v>
      </c>
      <c r="H26" s="357">
        <v>2213194</v>
      </c>
      <c r="I26" s="356">
        <f>3383267+3472</f>
        <v>3386739</v>
      </c>
    </row>
    <row r="27" spans="1:9" x14ac:dyDescent="0.3">
      <c r="A27" s="234" t="s">
        <v>334</v>
      </c>
      <c r="B27" s="234"/>
      <c r="C27" s="234"/>
      <c r="D27" s="234"/>
      <c r="E27" s="234"/>
      <c r="F27" s="234"/>
      <c r="G27" s="21">
        <v>19</v>
      </c>
      <c r="H27" s="357">
        <f>30712+5848307</f>
        <v>5879019</v>
      </c>
      <c r="I27" s="356">
        <v>12656560</v>
      </c>
    </row>
    <row r="28" spans="1:9" x14ac:dyDescent="0.3">
      <c r="A28" s="234" t="s">
        <v>335</v>
      </c>
      <c r="B28" s="234"/>
      <c r="C28" s="234"/>
      <c r="D28" s="234"/>
      <c r="E28" s="234"/>
      <c r="F28" s="234"/>
      <c r="G28" s="21">
        <v>20</v>
      </c>
      <c r="H28" s="357"/>
      <c r="I28" s="357"/>
    </row>
    <row r="29" spans="1:9" x14ac:dyDescent="0.3">
      <c r="A29" s="238" t="s">
        <v>336</v>
      </c>
      <c r="B29" s="238"/>
      <c r="C29" s="238"/>
      <c r="D29" s="238"/>
      <c r="E29" s="238"/>
      <c r="F29" s="238"/>
      <c r="G29" s="4">
        <v>21</v>
      </c>
      <c r="H29" s="15">
        <f>SUM(H23:H28)</f>
        <v>8132642</v>
      </c>
      <c r="I29" s="15">
        <f>SUM(I23:I28)</f>
        <v>16476599</v>
      </c>
    </row>
    <row r="30" spans="1:9" x14ac:dyDescent="0.3">
      <c r="A30" s="234" t="s">
        <v>337</v>
      </c>
      <c r="B30" s="234"/>
      <c r="C30" s="234"/>
      <c r="D30" s="234"/>
      <c r="E30" s="234"/>
      <c r="F30" s="234"/>
      <c r="G30" s="3">
        <v>22</v>
      </c>
      <c r="H30" s="357">
        <f>-18756496</f>
        <v>-18756496</v>
      </c>
      <c r="I30" s="356">
        <f>-49423487-203315</f>
        <v>-49626802</v>
      </c>
    </row>
    <row r="31" spans="1:9" x14ac:dyDescent="0.3">
      <c r="A31" s="234" t="s">
        <v>338</v>
      </c>
      <c r="B31" s="234"/>
      <c r="C31" s="234"/>
      <c r="D31" s="234"/>
      <c r="E31" s="234"/>
      <c r="F31" s="234"/>
      <c r="G31" s="3">
        <v>23</v>
      </c>
      <c r="H31" s="357"/>
      <c r="I31" s="356"/>
    </row>
    <row r="32" spans="1:9" x14ac:dyDescent="0.3">
      <c r="A32" s="234" t="s">
        <v>339</v>
      </c>
      <c r="B32" s="234"/>
      <c r="C32" s="234"/>
      <c r="D32" s="234"/>
      <c r="E32" s="234"/>
      <c r="F32" s="234"/>
      <c r="G32" s="3">
        <v>24</v>
      </c>
      <c r="H32" s="357">
        <f>-7440-12634136</f>
        <v>-12641576</v>
      </c>
      <c r="I32" s="356">
        <v>-19539854</v>
      </c>
    </row>
    <row r="33" spans="1:9" x14ac:dyDescent="0.3">
      <c r="A33" s="234" t="s">
        <v>340</v>
      </c>
      <c r="B33" s="234"/>
      <c r="C33" s="234"/>
      <c r="D33" s="234"/>
      <c r="E33" s="234"/>
      <c r="F33" s="234"/>
      <c r="G33" s="3">
        <v>25</v>
      </c>
      <c r="H33" s="357">
        <v>-1262600</v>
      </c>
      <c r="I33" s="356"/>
    </row>
    <row r="34" spans="1:9" x14ac:dyDescent="0.3">
      <c r="A34" s="234" t="s">
        <v>341</v>
      </c>
      <c r="B34" s="234"/>
      <c r="C34" s="234"/>
      <c r="D34" s="234"/>
      <c r="E34" s="234"/>
      <c r="F34" s="234"/>
      <c r="G34" s="3">
        <v>26</v>
      </c>
      <c r="H34" s="357"/>
      <c r="I34" s="357"/>
    </row>
    <row r="35" spans="1:9" x14ac:dyDescent="0.3">
      <c r="A35" s="238" t="s">
        <v>342</v>
      </c>
      <c r="B35" s="238"/>
      <c r="C35" s="238"/>
      <c r="D35" s="238"/>
      <c r="E35" s="238"/>
      <c r="F35" s="238"/>
      <c r="G35" s="4">
        <v>27</v>
      </c>
      <c r="H35" s="15">
        <f>SUM(H30:H34)</f>
        <v>-32660672</v>
      </c>
      <c r="I35" s="15">
        <f>SUM(I30:I34)</f>
        <v>-69166656</v>
      </c>
    </row>
    <row r="36" spans="1:9" x14ac:dyDescent="0.3">
      <c r="A36" s="305" t="s">
        <v>343</v>
      </c>
      <c r="B36" s="306"/>
      <c r="C36" s="306"/>
      <c r="D36" s="306"/>
      <c r="E36" s="306"/>
      <c r="F36" s="306"/>
      <c r="G36" s="12">
        <v>28</v>
      </c>
      <c r="H36" s="16">
        <f>H29+H35</f>
        <v>-24528030</v>
      </c>
      <c r="I36" s="16">
        <f>I29+I35</f>
        <v>-52690057</v>
      </c>
    </row>
    <row r="37" spans="1:9" x14ac:dyDescent="0.3">
      <c r="A37" s="274" t="s">
        <v>298</v>
      </c>
      <c r="B37" s="302"/>
      <c r="C37" s="302"/>
      <c r="D37" s="302"/>
      <c r="E37" s="302"/>
      <c r="F37" s="302"/>
      <c r="G37" s="302">
        <v>0</v>
      </c>
      <c r="H37" s="302"/>
      <c r="I37" s="303"/>
    </row>
    <row r="38" spans="1:9" x14ac:dyDescent="0.3">
      <c r="A38" s="307" t="s">
        <v>344</v>
      </c>
      <c r="B38" s="307"/>
      <c r="C38" s="307"/>
      <c r="D38" s="307"/>
      <c r="E38" s="307"/>
      <c r="F38" s="307"/>
      <c r="G38" s="21">
        <v>29</v>
      </c>
      <c r="H38" s="356">
        <v>16642208</v>
      </c>
      <c r="I38" s="356"/>
    </row>
    <row r="39" spans="1:9" ht="23.1" customHeight="1" x14ac:dyDescent="0.3">
      <c r="A39" s="214" t="s">
        <v>345</v>
      </c>
      <c r="B39" s="214"/>
      <c r="C39" s="214"/>
      <c r="D39" s="214"/>
      <c r="E39" s="214"/>
      <c r="F39" s="214"/>
      <c r="G39" s="21">
        <v>30</v>
      </c>
      <c r="H39" s="357"/>
      <c r="I39" s="357"/>
    </row>
    <row r="40" spans="1:9" x14ac:dyDescent="0.3">
      <c r="A40" s="214" t="s">
        <v>346</v>
      </c>
      <c r="B40" s="214"/>
      <c r="C40" s="214"/>
      <c r="D40" s="214"/>
      <c r="E40" s="214"/>
      <c r="F40" s="214"/>
      <c r="G40" s="21">
        <v>31</v>
      </c>
      <c r="H40" s="357"/>
      <c r="I40" s="357">
        <v>10000000</v>
      </c>
    </row>
    <row r="41" spans="1:9" x14ac:dyDescent="0.3">
      <c r="A41" s="214" t="s">
        <v>347</v>
      </c>
      <c r="B41" s="214"/>
      <c r="C41" s="214"/>
      <c r="D41" s="214"/>
      <c r="E41" s="214"/>
      <c r="F41" s="214"/>
      <c r="G41" s="21">
        <v>32</v>
      </c>
      <c r="H41" s="357"/>
      <c r="I41" s="357"/>
    </row>
    <row r="42" spans="1:9" x14ac:dyDescent="0.3">
      <c r="A42" s="238" t="s">
        <v>348</v>
      </c>
      <c r="B42" s="238"/>
      <c r="C42" s="238"/>
      <c r="D42" s="238"/>
      <c r="E42" s="238"/>
      <c r="F42" s="238"/>
      <c r="G42" s="4">
        <v>33</v>
      </c>
      <c r="H42" s="15">
        <f>H41+H40+H39+H38</f>
        <v>16642208</v>
      </c>
      <c r="I42" s="15">
        <f>I41+I40+I39+I38</f>
        <v>10000000</v>
      </c>
    </row>
    <row r="43" spans="1:9" ht="23.65" customHeight="1" x14ac:dyDescent="0.3">
      <c r="A43" s="214" t="s">
        <v>481</v>
      </c>
      <c r="B43" s="214"/>
      <c r="C43" s="214"/>
      <c r="D43" s="214"/>
      <c r="E43" s="214"/>
      <c r="F43" s="214"/>
      <c r="G43" s="3">
        <v>34</v>
      </c>
      <c r="H43" s="357">
        <v>-1250000</v>
      </c>
      <c r="I43" s="356">
        <f>-750000-975099</f>
        <v>-1725099</v>
      </c>
    </row>
    <row r="44" spans="1:9" x14ac:dyDescent="0.3">
      <c r="A44" s="214" t="s">
        <v>349</v>
      </c>
      <c r="B44" s="214"/>
      <c r="C44" s="214"/>
      <c r="D44" s="214"/>
      <c r="E44" s="214"/>
      <c r="F44" s="214"/>
      <c r="G44" s="3">
        <v>35</v>
      </c>
      <c r="H44" s="357">
        <v>-6189411</v>
      </c>
      <c r="I44" s="356">
        <v>-10579756</v>
      </c>
    </row>
    <row r="45" spans="1:9" x14ac:dyDescent="0.3">
      <c r="A45" s="214" t="s">
        <v>350</v>
      </c>
      <c r="B45" s="214"/>
      <c r="C45" s="214"/>
      <c r="D45" s="214"/>
      <c r="E45" s="214"/>
      <c r="F45" s="214"/>
      <c r="G45" s="3">
        <v>36</v>
      </c>
      <c r="H45" s="357"/>
      <c r="I45" s="356"/>
    </row>
    <row r="46" spans="1:9" ht="24.6" customHeight="1" x14ac:dyDescent="0.3">
      <c r="A46" s="214" t="s">
        <v>351</v>
      </c>
      <c r="B46" s="214"/>
      <c r="C46" s="214"/>
      <c r="D46" s="214"/>
      <c r="E46" s="214"/>
      <c r="F46" s="214"/>
      <c r="G46" s="3">
        <v>37</v>
      </c>
      <c r="H46" s="357"/>
      <c r="I46" s="356">
        <v>-262408</v>
      </c>
    </row>
    <row r="47" spans="1:9" x14ac:dyDescent="0.3">
      <c r="A47" s="214" t="s">
        <v>352</v>
      </c>
      <c r="B47" s="214"/>
      <c r="C47" s="214"/>
      <c r="D47" s="214"/>
      <c r="E47" s="214"/>
      <c r="F47" s="214"/>
      <c r="G47" s="3">
        <v>38</v>
      </c>
      <c r="H47" s="357"/>
      <c r="I47" s="357"/>
    </row>
    <row r="48" spans="1:9" x14ac:dyDescent="0.3">
      <c r="A48" s="238" t="s">
        <v>353</v>
      </c>
      <c r="B48" s="238"/>
      <c r="C48" s="238"/>
      <c r="D48" s="238"/>
      <c r="E48" s="238"/>
      <c r="F48" s="238"/>
      <c r="G48" s="4">
        <v>39</v>
      </c>
      <c r="H48" s="15">
        <f>H47+H46+H45+H44+H43</f>
        <v>-7439411</v>
      </c>
      <c r="I48" s="15">
        <f>I47+I46+I45+I44+I43</f>
        <v>-12567263</v>
      </c>
    </row>
    <row r="49" spans="1:9" x14ac:dyDescent="0.3">
      <c r="A49" s="239" t="s">
        <v>354</v>
      </c>
      <c r="B49" s="240"/>
      <c r="C49" s="240"/>
      <c r="D49" s="240"/>
      <c r="E49" s="240"/>
      <c r="F49" s="240"/>
      <c r="G49" s="4">
        <v>40</v>
      </c>
      <c r="H49" s="15">
        <f>H48+H42</f>
        <v>9202797</v>
      </c>
      <c r="I49" s="15">
        <f>I48+I42</f>
        <v>-2567263</v>
      </c>
    </row>
    <row r="50" spans="1:9" x14ac:dyDescent="0.3">
      <c r="A50" s="234" t="s">
        <v>355</v>
      </c>
      <c r="B50" s="234"/>
      <c r="C50" s="234"/>
      <c r="D50" s="234"/>
      <c r="E50" s="234"/>
      <c r="F50" s="234"/>
      <c r="G50" s="3">
        <v>41</v>
      </c>
      <c r="H50" s="356">
        <v>0</v>
      </c>
      <c r="I50" s="356">
        <v>0</v>
      </c>
    </row>
    <row r="51" spans="1:9" ht="25.25" customHeight="1" x14ac:dyDescent="0.3">
      <c r="A51" s="239" t="s">
        <v>356</v>
      </c>
      <c r="B51" s="240"/>
      <c r="C51" s="240"/>
      <c r="D51" s="240"/>
      <c r="E51" s="240"/>
      <c r="F51" s="240"/>
      <c r="G51" s="4">
        <v>42</v>
      </c>
      <c r="H51" s="15">
        <f>H21+H36+H49+H50</f>
        <v>12099757</v>
      </c>
      <c r="I51" s="15">
        <f>I21+I36+I49+I50</f>
        <v>-16125628</v>
      </c>
    </row>
    <row r="52" spans="1:9" x14ac:dyDescent="0.3">
      <c r="A52" s="308" t="s">
        <v>357</v>
      </c>
      <c r="B52" s="309"/>
      <c r="C52" s="309"/>
      <c r="D52" s="309"/>
      <c r="E52" s="309"/>
      <c r="F52" s="309"/>
      <c r="G52" s="3">
        <v>43</v>
      </c>
      <c r="H52" s="356">
        <f>18829549+265058+337612+9334</f>
        <v>19441553</v>
      </c>
      <c r="I52" s="356">
        <f>31135251+18185+381165+6709</f>
        <v>31541310</v>
      </c>
    </row>
    <row r="53" spans="1:9" ht="25.25" customHeight="1" x14ac:dyDescent="0.3">
      <c r="A53" s="310" t="s">
        <v>358</v>
      </c>
      <c r="B53" s="311"/>
      <c r="C53" s="311"/>
      <c r="D53" s="311"/>
      <c r="E53" s="311"/>
      <c r="F53" s="311"/>
      <c r="G53" s="6">
        <v>44</v>
      </c>
      <c r="H53" s="22">
        <f>H52+H51</f>
        <v>31541310</v>
      </c>
      <c r="I53" s="22">
        <f>I52+I51</f>
        <v>15415682</v>
      </c>
    </row>
  </sheetData>
  <mergeCells count="53">
    <mergeCell ref="A49:F49"/>
    <mergeCell ref="A50:F50"/>
    <mergeCell ref="A51:F51"/>
    <mergeCell ref="A52:F52"/>
    <mergeCell ref="A53:F53"/>
    <mergeCell ref="A48:F48"/>
    <mergeCell ref="A37:I37"/>
    <mergeCell ref="A38:F38"/>
    <mergeCell ref="A39:F39"/>
    <mergeCell ref="A40:F40"/>
    <mergeCell ref="A41:F41"/>
    <mergeCell ref="A42:F42"/>
    <mergeCell ref="A43:F43"/>
    <mergeCell ref="A44:F44"/>
    <mergeCell ref="A45:F45"/>
    <mergeCell ref="A46:F46"/>
    <mergeCell ref="A47:F47"/>
    <mergeCell ref="A36:F36"/>
    <mergeCell ref="A25:F25"/>
    <mergeCell ref="A26:F26"/>
    <mergeCell ref="A27:F27"/>
    <mergeCell ref="A28:F28"/>
    <mergeCell ref="A29:F29"/>
    <mergeCell ref="A30:F30"/>
    <mergeCell ref="A31:F31"/>
    <mergeCell ref="A32:F32"/>
    <mergeCell ref="A33:F33"/>
    <mergeCell ref="A34:F34"/>
    <mergeCell ref="A35:F35"/>
    <mergeCell ref="A24:F24"/>
    <mergeCell ref="A13:F13"/>
    <mergeCell ref="A14:F14"/>
    <mergeCell ref="A15:F15"/>
    <mergeCell ref="A16:F16"/>
    <mergeCell ref="A17:F17"/>
    <mergeCell ref="A18:F18"/>
    <mergeCell ref="A19:F19"/>
    <mergeCell ref="A20:F20"/>
    <mergeCell ref="A21:F21"/>
    <mergeCell ref="A22:I22"/>
    <mergeCell ref="A23:F23"/>
    <mergeCell ref="A12:F12"/>
    <mergeCell ref="A1:I1"/>
    <mergeCell ref="A2:I2"/>
    <mergeCell ref="A3:I3"/>
    <mergeCell ref="A4:I4"/>
    <mergeCell ref="A5:F5"/>
    <mergeCell ref="A6:F6"/>
    <mergeCell ref="A7:I7"/>
    <mergeCell ref="A8:F8"/>
    <mergeCell ref="A9:F9"/>
    <mergeCell ref="A10:F10"/>
    <mergeCell ref="A11:F11"/>
  </mergeCells>
  <conditionalFormatting sqref="H8:H12">
    <cfRule type="cellIs" dxfId="13" priority="11" stopIfTrue="1" operator="notEqual">
      <formula>ROUND(H8,0)</formula>
    </cfRule>
    <cfRule type="cellIs" dxfId="12" priority="12" stopIfTrue="1" operator="lessThan">
      <formula>0</formula>
    </cfRule>
  </conditionalFormatting>
  <conditionalFormatting sqref="H19">
    <cfRule type="cellIs" dxfId="11" priority="8" stopIfTrue="1" operator="notEqual">
      <formula>ROUND(H19,0)</formula>
    </cfRule>
  </conditionalFormatting>
  <conditionalFormatting sqref="H14:H18">
    <cfRule type="cellIs" dxfId="10" priority="9" stopIfTrue="1" operator="notEqual">
      <formula>ROUND(H14,0)</formula>
    </cfRule>
    <cfRule type="cellIs" dxfId="9" priority="10" stopIfTrue="1" operator="greaterThan">
      <formula>0</formula>
    </cfRule>
  </conditionalFormatting>
  <conditionalFormatting sqref="H23:H28">
    <cfRule type="cellIs" dxfId="8" priority="6" stopIfTrue="1" operator="notEqual">
      <formula>ROUND(H23,0)</formula>
    </cfRule>
    <cfRule type="cellIs" dxfId="7" priority="7" stopIfTrue="1" operator="lessThan">
      <formula>0</formula>
    </cfRule>
  </conditionalFormatting>
  <conditionalFormatting sqref="H33">
    <cfRule type="cellIs" dxfId="6" priority="3" stopIfTrue="1" operator="notEqual">
      <formula>ROUND(H33,0)</formula>
    </cfRule>
  </conditionalFormatting>
  <conditionalFormatting sqref="H34 H30:H32">
    <cfRule type="cellIs" dxfId="5" priority="4" stopIfTrue="1" operator="notEqual">
      <formula>ROUND(H30,0)</formula>
    </cfRule>
    <cfRule type="cellIs" dxfId="4" priority="5" stopIfTrue="1" operator="greaterThan">
      <formula>0</formula>
    </cfRule>
  </conditionalFormatting>
  <conditionalFormatting sqref="H43:H47">
    <cfRule type="cellIs" dxfId="3" priority="1" stopIfTrue="1" operator="notEqual">
      <formula>ROUND(H43,0)</formula>
    </cfRule>
    <cfRule type="cellIs" dxfId="2" priority="2" stopIfTrue="1" operator="greaterThan">
      <formula>0</formula>
    </cfRule>
  </conditionalFormatting>
  <dataValidations count="4">
    <dataValidation type="whole" operator="greaterThanOrEqual" allowBlank="1" showInputMessage="1" showErrorMessage="1" errorTitle="Incorrect entry" error="You can enter only positive whole numbers." sqref="H22:I22 H37:I37" xr:uid="{00000000-0002-0000-0400-000003000000}">
      <formula1>0</formula1>
    </dataValidation>
    <dataValidation type="whole" operator="greaterThanOrEqual" allowBlank="1" showInputMessage="1" showErrorMessage="1" errorTitle="Pogrešan upis" error="Dopušten je upis samo pozitivnih cjelobrojnih vrijednosti" sqref="H8:I13 H23:I29 H52:I53 H38:I42" xr:uid="{091EE33E-A2E7-4230-B3A4-F9A991B7650C}">
      <formula1>0</formula1>
    </dataValidation>
    <dataValidation type="whole" operator="lessThanOrEqual" allowBlank="1" showInputMessage="1" showErrorMessage="1" errorTitle="Pogrešan upis" error="Dopušten je upis samo negativnih cjelobrojnih vrijednosti ili nule" sqref="H14:I16 H18:I19 H34:I35 H30:I32 H43:I48" xr:uid="{637A054F-DFEF-485A-B67C-C036F5F22F2E}">
      <formula1>0</formula1>
    </dataValidation>
    <dataValidation type="whole" operator="notEqual" allowBlank="1" showInputMessage="1" showErrorMessage="1" errorTitle="Pogrešan upis" error="Dopušten je upis samo cjelobrojnih vrijednosti" sqref="H17:I17 H20:I21 H33:I33 H36:I36 H49:I51" xr:uid="{6AC57A12-2E61-44BD-BC1F-D1945216BDA3}">
      <formula1>999999999999</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4" zoomScale="80" zoomScaleNormal="100" zoomScaleSheetLayoutView="80" workbookViewId="0">
      <selection activeCell="X39" sqref="X39"/>
    </sheetView>
  </sheetViews>
  <sheetFormatPr defaultRowHeight="14" x14ac:dyDescent="0.3"/>
  <cols>
    <col min="5" max="5" width="9.69921875" bestFit="1" customWidth="1"/>
    <col min="7" max="7" width="10" customWidth="1"/>
  </cols>
  <sheetData>
    <row r="1" spans="1:25" x14ac:dyDescent="0.3">
      <c r="A1" s="312" t="s">
        <v>359</v>
      </c>
      <c r="B1" s="313"/>
      <c r="C1" s="313"/>
      <c r="D1" s="313"/>
      <c r="E1" s="313"/>
      <c r="F1" s="313"/>
      <c r="G1" s="313"/>
      <c r="H1" s="313"/>
      <c r="I1" s="313"/>
      <c r="J1" s="313"/>
      <c r="K1" s="23"/>
      <c r="L1" s="24"/>
      <c r="M1" s="24"/>
      <c r="N1" s="24"/>
      <c r="O1" s="24"/>
      <c r="P1" s="24"/>
      <c r="Q1" s="24"/>
      <c r="R1" s="24"/>
      <c r="S1" s="24"/>
      <c r="T1" s="24"/>
      <c r="U1" s="24"/>
      <c r="V1" s="24"/>
      <c r="W1" s="24"/>
      <c r="X1" s="24"/>
      <c r="Y1" s="24"/>
    </row>
    <row r="2" spans="1:25" ht="15.05" x14ac:dyDescent="0.3">
      <c r="A2" s="25"/>
      <c r="B2" s="26"/>
      <c r="C2" s="314" t="s">
        <v>360</v>
      </c>
      <c r="D2" s="314"/>
      <c r="E2" s="109">
        <v>44562</v>
      </c>
      <c r="F2" s="27" t="s">
        <v>361</v>
      </c>
      <c r="G2" s="108">
        <v>44834</v>
      </c>
      <c r="H2" s="28"/>
      <c r="I2" s="28"/>
      <c r="J2" s="28"/>
      <c r="K2" s="23"/>
      <c r="L2" s="24"/>
      <c r="M2" s="24"/>
      <c r="N2" s="24"/>
      <c r="O2" s="24"/>
      <c r="P2" s="24"/>
      <c r="Q2" s="24"/>
      <c r="R2" s="24"/>
      <c r="S2" s="24"/>
      <c r="T2" s="24"/>
      <c r="U2" s="24"/>
      <c r="V2" s="24"/>
      <c r="W2" s="24"/>
      <c r="X2" s="24" t="s">
        <v>41</v>
      </c>
      <c r="Y2" s="24"/>
    </row>
    <row r="3" spans="1:25" ht="14.55" thickBot="1" x14ac:dyDescent="0.35">
      <c r="A3" s="315" t="s">
        <v>362</v>
      </c>
      <c r="B3" s="316"/>
      <c r="C3" s="316"/>
      <c r="D3" s="316"/>
      <c r="E3" s="316"/>
      <c r="F3" s="316"/>
      <c r="G3" s="319" t="s">
        <v>363</v>
      </c>
      <c r="H3" s="321" t="s">
        <v>364</v>
      </c>
      <c r="I3" s="321"/>
      <c r="J3" s="321"/>
      <c r="K3" s="321"/>
      <c r="L3" s="321"/>
      <c r="M3" s="321"/>
      <c r="N3" s="321"/>
      <c r="O3" s="321"/>
      <c r="P3" s="321"/>
      <c r="Q3" s="321"/>
      <c r="R3" s="321"/>
      <c r="S3" s="321"/>
      <c r="T3" s="321"/>
      <c r="U3" s="321"/>
      <c r="V3" s="321"/>
      <c r="W3" s="321"/>
      <c r="X3" s="321" t="s">
        <v>365</v>
      </c>
      <c r="Y3" s="323" t="s">
        <v>366</v>
      </c>
    </row>
    <row r="4" spans="1:25" ht="108" thickBot="1" x14ac:dyDescent="0.35">
      <c r="A4" s="317"/>
      <c r="B4" s="318"/>
      <c r="C4" s="318"/>
      <c r="D4" s="318"/>
      <c r="E4" s="318"/>
      <c r="F4" s="318"/>
      <c r="G4" s="320"/>
      <c r="H4" s="29" t="s">
        <v>367</v>
      </c>
      <c r="I4" s="29" t="s">
        <v>368</v>
      </c>
      <c r="J4" s="29" t="s">
        <v>369</v>
      </c>
      <c r="K4" s="29" t="s">
        <v>370</v>
      </c>
      <c r="L4" s="29" t="s">
        <v>371</v>
      </c>
      <c r="M4" s="29" t="s">
        <v>372</v>
      </c>
      <c r="N4" s="29" t="s">
        <v>373</v>
      </c>
      <c r="O4" s="29" t="s">
        <v>374</v>
      </c>
      <c r="P4" s="30" t="s">
        <v>375</v>
      </c>
      <c r="Q4" s="29" t="s">
        <v>376</v>
      </c>
      <c r="R4" s="29" t="s">
        <v>377</v>
      </c>
      <c r="S4" s="30" t="s">
        <v>378</v>
      </c>
      <c r="T4" s="30" t="s">
        <v>379</v>
      </c>
      <c r="U4" s="29" t="s">
        <v>380</v>
      </c>
      <c r="V4" s="29" t="s">
        <v>381</v>
      </c>
      <c r="W4" s="29" t="s">
        <v>382</v>
      </c>
      <c r="X4" s="331"/>
      <c r="Y4" s="324"/>
    </row>
    <row r="5" spans="1:25" ht="32.25" x14ac:dyDescent="0.3">
      <c r="A5" s="325">
        <v>1</v>
      </c>
      <c r="B5" s="326"/>
      <c r="C5" s="326"/>
      <c r="D5" s="326"/>
      <c r="E5" s="326"/>
      <c r="F5" s="326"/>
      <c r="G5" s="31">
        <v>2</v>
      </c>
      <c r="H5" s="32" t="s">
        <v>383</v>
      </c>
      <c r="I5" s="33" t="s">
        <v>384</v>
      </c>
      <c r="J5" s="32" t="s">
        <v>385</v>
      </c>
      <c r="K5" s="33" t="s">
        <v>386</v>
      </c>
      <c r="L5" s="32" t="s">
        <v>387</v>
      </c>
      <c r="M5" s="33" t="s">
        <v>388</v>
      </c>
      <c r="N5" s="32" t="s">
        <v>389</v>
      </c>
      <c r="O5" s="33" t="s">
        <v>390</v>
      </c>
      <c r="P5" s="32" t="s">
        <v>391</v>
      </c>
      <c r="Q5" s="33" t="s">
        <v>392</v>
      </c>
      <c r="R5" s="32" t="s">
        <v>393</v>
      </c>
      <c r="S5" s="32" t="s">
        <v>394</v>
      </c>
      <c r="T5" s="32" t="s">
        <v>395</v>
      </c>
      <c r="U5" s="32" t="s">
        <v>396</v>
      </c>
      <c r="V5" s="32" t="s">
        <v>397</v>
      </c>
      <c r="W5" s="32" t="s">
        <v>398</v>
      </c>
      <c r="X5" s="32">
        <v>19</v>
      </c>
      <c r="Y5" s="34" t="s">
        <v>399</v>
      </c>
    </row>
    <row r="6" spans="1:25" x14ac:dyDescent="0.3">
      <c r="A6" s="327" t="s">
        <v>400</v>
      </c>
      <c r="B6" s="327"/>
      <c r="C6" s="327"/>
      <c r="D6" s="327"/>
      <c r="E6" s="327"/>
      <c r="F6" s="327"/>
      <c r="G6" s="327"/>
      <c r="H6" s="327"/>
      <c r="I6" s="327"/>
      <c r="J6" s="327"/>
      <c r="K6" s="327"/>
      <c r="L6" s="327"/>
      <c r="M6" s="327"/>
      <c r="N6" s="328"/>
      <c r="O6" s="328"/>
      <c r="P6" s="328"/>
      <c r="Q6" s="328"/>
      <c r="R6" s="328"/>
      <c r="S6" s="328"/>
      <c r="T6" s="328"/>
      <c r="U6" s="328"/>
      <c r="V6" s="328"/>
      <c r="W6" s="328"/>
      <c r="X6" s="328"/>
      <c r="Y6" s="329"/>
    </row>
    <row r="7" spans="1:25" x14ac:dyDescent="0.3">
      <c r="A7" s="330" t="s">
        <v>401</v>
      </c>
      <c r="B7" s="330"/>
      <c r="C7" s="330"/>
      <c r="D7" s="330"/>
      <c r="E7" s="330"/>
      <c r="F7" s="330"/>
      <c r="G7" s="35">
        <v>1</v>
      </c>
      <c r="H7" s="36">
        <v>96011000</v>
      </c>
      <c r="I7" s="36">
        <v>64950000</v>
      </c>
      <c r="J7" s="36">
        <v>571419</v>
      </c>
      <c r="K7" s="36">
        <v>1190650</v>
      </c>
      <c r="L7" s="36">
        <v>1190650</v>
      </c>
      <c r="M7" s="36"/>
      <c r="N7" s="36"/>
      <c r="O7" s="36">
        <v>-16590906</v>
      </c>
      <c r="P7" s="36"/>
      <c r="Q7" s="36"/>
      <c r="R7" s="36"/>
      <c r="S7" s="36"/>
      <c r="T7" s="36"/>
      <c r="U7" s="36">
        <v>16612853</v>
      </c>
      <c r="V7" s="36"/>
      <c r="W7" s="39">
        <f>H7+I7+J7+K7-L7+M7+N7+O7+P7+Q7+R7+U7+V7+S7+T7</f>
        <v>161554366</v>
      </c>
      <c r="X7" s="36">
        <v>0</v>
      </c>
      <c r="Y7" s="39">
        <f>W7+X7</f>
        <v>161554366</v>
      </c>
    </row>
    <row r="8" spans="1:25" x14ac:dyDescent="0.3">
      <c r="A8" s="322" t="s">
        <v>402</v>
      </c>
      <c r="B8" s="322"/>
      <c r="C8" s="322"/>
      <c r="D8" s="322"/>
      <c r="E8" s="322"/>
      <c r="F8" s="322"/>
      <c r="G8" s="35">
        <v>2</v>
      </c>
      <c r="H8" s="36">
        <v>0</v>
      </c>
      <c r="I8" s="36">
        <v>0</v>
      </c>
      <c r="J8" s="36">
        <v>0</v>
      </c>
      <c r="K8" s="36">
        <v>0</v>
      </c>
      <c r="L8" s="36">
        <v>0</v>
      </c>
      <c r="M8" s="36">
        <v>0</v>
      </c>
      <c r="N8" s="36">
        <v>0</v>
      </c>
      <c r="O8" s="36">
        <v>0</v>
      </c>
      <c r="P8" s="36">
        <v>0</v>
      </c>
      <c r="Q8" s="36">
        <v>0</v>
      </c>
      <c r="R8" s="36">
        <v>0</v>
      </c>
      <c r="S8" s="36">
        <v>0</v>
      </c>
      <c r="T8" s="36">
        <v>0</v>
      </c>
      <c r="U8" s="36">
        <v>0</v>
      </c>
      <c r="V8" s="36">
        <v>0</v>
      </c>
      <c r="W8" s="39">
        <f t="shared" ref="W8:W9" si="0">H8+I8+J8+K8-L8+M8+N8+O8+P8+Q8+R8+U8+V8+S8+T8</f>
        <v>0</v>
      </c>
      <c r="X8" s="36">
        <v>0</v>
      </c>
      <c r="Y8" s="39">
        <f t="shared" ref="Y8:Y9" si="1">W8+X8</f>
        <v>0</v>
      </c>
    </row>
    <row r="9" spans="1:25" x14ac:dyDescent="0.3">
      <c r="A9" s="322" t="s">
        <v>403</v>
      </c>
      <c r="B9" s="322"/>
      <c r="C9" s="322"/>
      <c r="D9" s="322"/>
      <c r="E9" s="322"/>
      <c r="F9" s="322"/>
      <c r="G9" s="35">
        <v>3</v>
      </c>
      <c r="H9" s="36">
        <v>0</v>
      </c>
      <c r="I9" s="36">
        <v>0</v>
      </c>
      <c r="J9" s="36">
        <v>0</v>
      </c>
      <c r="K9" s="36">
        <v>0</v>
      </c>
      <c r="L9" s="36">
        <v>0</v>
      </c>
      <c r="M9" s="36">
        <v>0</v>
      </c>
      <c r="N9" s="36">
        <v>0</v>
      </c>
      <c r="O9" s="36">
        <v>0</v>
      </c>
      <c r="P9" s="36">
        <v>0</v>
      </c>
      <c r="Q9" s="36">
        <v>0</v>
      </c>
      <c r="R9" s="36">
        <v>0</v>
      </c>
      <c r="S9" s="36">
        <v>0</v>
      </c>
      <c r="T9" s="36">
        <v>0</v>
      </c>
      <c r="U9" s="36">
        <v>0</v>
      </c>
      <c r="V9" s="36">
        <v>0</v>
      </c>
      <c r="W9" s="39">
        <f t="shared" si="0"/>
        <v>0</v>
      </c>
      <c r="X9" s="36">
        <v>0</v>
      </c>
      <c r="Y9" s="39">
        <f t="shared" si="1"/>
        <v>0</v>
      </c>
    </row>
    <row r="10" spans="1:25" ht="19.75" customHeight="1" x14ac:dyDescent="0.3">
      <c r="A10" s="332" t="s">
        <v>404</v>
      </c>
      <c r="B10" s="332"/>
      <c r="C10" s="332"/>
      <c r="D10" s="332"/>
      <c r="E10" s="332"/>
      <c r="F10" s="332"/>
      <c r="G10" s="38">
        <v>4</v>
      </c>
      <c r="H10" s="39">
        <f>H7+H8+H9</f>
        <v>96011000</v>
      </c>
      <c r="I10" s="39">
        <f t="shared" ref="I10:Y10" si="2">I7+I8+I9</f>
        <v>64950000</v>
      </c>
      <c r="J10" s="39">
        <f t="shared" si="2"/>
        <v>571419</v>
      </c>
      <c r="K10" s="39">
        <f>K7+K8+K9</f>
        <v>1190650</v>
      </c>
      <c r="L10" s="39">
        <f t="shared" si="2"/>
        <v>1190650</v>
      </c>
      <c r="M10" s="39">
        <f t="shared" si="2"/>
        <v>0</v>
      </c>
      <c r="N10" s="39">
        <f t="shared" si="2"/>
        <v>0</v>
      </c>
      <c r="O10" s="39">
        <f t="shared" si="2"/>
        <v>-16590906</v>
      </c>
      <c r="P10" s="39">
        <f t="shared" si="2"/>
        <v>0</v>
      </c>
      <c r="Q10" s="39">
        <f t="shared" si="2"/>
        <v>0</v>
      </c>
      <c r="R10" s="39">
        <f t="shared" si="2"/>
        <v>0</v>
      </c>
      <c r="S10" s="39">
        <f t="shared" si="2"/>
        <v>0</v>
      </c>
      <c r="T10" s="39">
        <f t="shared" si="2"/>
        <v>0</v>
      </c>
      <c r="U10" s="39">
        <f t="shared" si="2"/>
        <v>16612853</v>
      </c>
      <c r="V10" s="39">
        <f t="shared" si="2"/>
        <v>0</v>
      </c>
      <c r="W10" s="39">
        <f t="shared" si="2"/>
        <v>161554366</v>
      </c>
      <c r="X10" s="39">
        <f t="shared" si="2"/>
        <v>0</v>
      </c>
      <c r="Y10" s="39">
        <f t="shared" si="2"/>
        <v>161554366</v>
      </c>
    </row>
    <row r="11" spans="1:25" x14ac:dyDescent="0.3">
      <c r="A11" s="322" t="s">
        <v>405</v>
      </c>
      <c r="B11" s="322"/>
      <c r="C11" s="322"/>
      <c r="D11" s="322"/>
      <c r="E11" s="322"/>
      <c r="F11" s="322"/>
      <c r="G11" s="35">
        <v>5</v>
      </c>
      <c r="H11" s="40">
        <v>0</v>
      </c>
      <c r="I11" s="40">
        <v>0</v>
      </c>
      <c r="J11" s="40">
        <v>0</v>
      </c>
      <c r="K11" s="40">
        <v>0</v>
      </c>
      <c r="L11" s="40">
        <v>0</v>
      </c>
      <c r="M11" s="40">
        <v>0</v>
      </c>
      <c r="N11" s="40">
        <v>0</v>
      </c>
      <c r="O11" s="40">
        <v>0</v>
      </c>
      <c r="P11" s="40">
        <v>0</v>
      </c>
      <c r="Q11" s="40">
        <v>0</v>
      </c>
      <c r="R11" s="40">
        <v>0</v>
      </c>
      <c r="S11" s="36">
        <v>0</v>
      </c>
      <c r="T11" s="36">
        <v>0</v>
      </c>
      <c r="U11" s="40">
        <v>0</v>
      </c>
      <c r="V11" s="36">
        <v>15142468</v>
      </c>
      <c r="W11" s="39">
        <f t="shared" ref="W11:W29" si="3">H11+I11+J11+K11-L11+M11+N11+O11+P11+Q11+R11+U11+V11+S11+T11</f>
        <v>15142468</v>
      </c>
      <c r="X11" s="36">
        <v>0</v>
      </c>
      <c r="Y11" s="39">
        <f t="shared" ref="Y11:Y29" si="4">W11+X11</f>
        <v>15142468</v>
      </c>
    </row>
    <row r="12" spans="1:25" x14ac:dyDescent="0.3">
      <c r="A12" s="322" t="s">
        <v>406</v>
      </c>
      <c r="B12" s="322"/>
      <c r="C12" s="322"/>
      <c r="D12" s="322"/>
      <c r="E12" s="322"/>
      <c r="F12" s="322"/>
      <c r="G12" s="35">
        <v>6</v>
      </c>
      <c r="H12" s="40">
        <v>0</v>
      </c>
      <c r="I12" s="40">
        <v>0</v>
      </c>
      <c r="J12" s="40">
        <v>0</v>
      </c>
      <c r="K12" s="40">
        <v>0</v>
      </c>
      <c r="L12" s="40">
        <v>0</v>
      </c>
      <c r="M12" s="40">
        <v>0</v>
      </c>
      <c r="N12" s="36">
        <v>0</v>
      </c>
      <c r="O12" s="40">
        <v>0</v>
      </c>
      <c r="P12" s="40">
        <v>0</v>
      </c>
      <c r="Q12" s="40">
        <v>0</v>
      </c>
      <c r="R12" s="40">
        <v>0</v>
      </c>
      <c r="S12" s="36">
        <v>0</v>
      </c>
      <c r="T12" s="36">
        <v>0</v>
      </c>
      <c r="U12" s="40">
        <v>0</v>
      </c>
      <c r="V12" s="40">
        <v>0</v>
      </c>
      <c r="W12" s="39">
        <f t="shared" si="3"/>
        <v>0</v>
      </c>
      <c r="X12" s="36">
        <v>0</v>
      </c>
      <c r="Y12" s="39">
        <f t="shared" si="4"/>
        <v>0</v>
      </c>
    </row>
    <row r="13" spans="1:25" x14ac:dyDescent="0.3">
      <c r="A13" s="322" t="s">
        <v>407</v>
      </c>
      <c r="B13" s="322"/>
      <c r="C13" s="322"/>
      <c r="D13" s="322"/>
      <c r="E13" s="322"/>
      <c r="F13" s="322"/>
      <c r="G13" s="35">
        <v>7</v>
      </c>
      <c r="H13" s="40">
        <v>0</v>
      </c>
      <c r="I13" s="40">
        <v>0</v>
      </c>
      <c r="J13" s="40">
        <v>0</v>
      </c>
      <c r="K13" s="40">
        <v>0</v>
      </c>
      <c r="L13" s="40">
        <v>0</v>
      </c>
      <c r="M13" s="40">
        <v>0</v>
      </c>
      <c r="N13" s="40">
        <v>0</v>
      </c>
      <c r="O13" s="36">
        <v>4056210</v>
      </c>
      <c r="P13" s="40">
        <v>0</v>
      </c>
      <c r="Q13" s="40">
        <v>0</v>
      </c>
      <c r="R13" s="40">
        <v>0</v>
      </c>
      <c r="S13" s="36">
        <v>0</v>
      </c>
      <c r="T13" s="36">
        <v>0</v>
      </c>
      <c r="U13" s="36">
        <v>0</v>
      </c>
      <c r="V13" s="36">
        <v>0</v>
      </c>
      <c r="W13" s="39">
        <f t="shared" si="3"/>
        <v>4056210</v>
      </c>
      <c r="X13" s="36">
        <v>0</v>
      </c>
      <c r="Y13" s="39">
        <f t="shared" si="4"/>
        <v>4056210</v>
      </c>
    </row>
    <row r="14" spans="1:25" ht="19.25" customHeight="1" x14ac:dyDescent="0.3">
      <c r="A14" s="322" t="s">
        <v>408</v>
      </c>
      <c r="B14" s="322"/>
      <c r="C14" s="322"/>
      <c r="D14" s="322"/>
      <c r="E14" s="322"/>
      <c r="F14" s="322"/>
      <c r="G14" s="35">
        <v>8</v>
      </c>
      <c r="H14" s="40">
        <v>0</v>
      </c>
      <c r="I14" s="40">
        <v>0</v>
      </c>
      <c r="J14" s="40">
        <v>0</v>
      </c>
      <c r="K14" s="40">
        <v>0</v>
      </c>
      <c r="L14" s="40">
        <v>0</v>
      </c>
      <c r="M14" s="40">
        <v>0</v>
      </c>
      <c r="N14" s="40">
        <v>0</v>
      </c>
      <c r="O14" s="40">
        <v>0</v>
      </c>
      <c r="P14" s="36">
        <v>0</v>
      </c>
      <c r="Q14" s="40">
        <v>0</v>
      </c>
      <c r="R14" s="40">
        <v>0</v>
      </c>
      <c r="S14" s="36">
        <v>0</v>
      </c>
      <c r="T14" s="36">
        <v>0</v>
      </c>
      <c r="U14" s="36">
        <v>0</v>
      </c>
      <c r="V14" s="36">
        <v>0</v>
      </c>
      <c r="W14" s="39">
        <f t="shared" si="3"/>
        <v>0</v>
      </c>
      <c r="X14" s="36">
        <v>0</v>
      </c>
      <c r="Y14" s="39">
        <f t="shared" si="4"/>
        <v>0</v>
      </c>
    </row>
    <row r="15" spans="1:25" x14ac:dyDescent="0.3">
      <c r="A15" s="322" t="s">
        <v>409</v>
      </c>
      <c r="B15" s="322"/>
      <c r="C15" s="322"/>
      <c r="D15" s="322"/>
      <c r="E15" s="322"/>
      <c r="F15" s="322"/>
      <c r="G15" s="35">
        <v>9</v>
      </c>
      <c r="H15" s="40">
        <v>0</v>
      </c>
      <c r="I15" s="40">
        <v>0</v>
      </c>
      <c r="J15" s="40">
        <v>0</v>
      </c>
      <c r="K15" s="40">
        <v>0</v>
      </c>
      <c r="L15" s="40">
        <v>0</v>
      </c>
      <c r="M15" s="40">
        <v>0</v>
      </c>
      <c r="N15" s="40">
        <v>0</v>
      </c>
      <c r="O15" s="40">
        <v>0</v>
      </c>
      <c r="P15" s="40">
        <v>0</v>
      </c>
      <c r="Q15" s="36">
        <v>0</v>
      </c>
      <c r="R15" s="40">
        <v>0</v>
      </c>
      <c r="S15" s="36">
        <v>0</v>
      </c>
      <c r="T15" s="36">
        <v>0</v>
      </c>
      <c r="U15" s="36">
        <v>0</v>
      </c>
      <c r="V15" s="36">
        <v>0</v>
      </c>
      <c r="W15" s="39">
        <f t="shared" si="3"/>
        <v>0</v>
      </c>
      <c r="X15" s="36">
        <v>0</v>
      </c>
      <c r="Y15" s="39">
        <f t="shared" si="4"/>
        <v>0</v>
      </c>
    </row>
    <row r="16" spans="1:25" ht="22.2" customHeight="1" x14ac:dyDescent="0.3">
      <c r="A16" s="322" t="s">
        <v>410</v>
      </c>
      <c r="B16" s="322"/>
      <c r="C16" s="322"/>
      <c r="D16" s="322"/>
      <c r="E16" s="322"/>
      <c r="F16" s="322"/>
      <c r="G16" s="35">
        <v>10</v>
      </c>
      <c r="H16" s="40">
        <v>0</v>
      </c>
      <c r="I16" s="40">
        <v>0</v>
      </c>
      <c r="J16" s="40">
        <v>0</v>
      </c>
      <c r="K16" s="40">
        <v>0</v>
      </c>
      <c r="L16" s="40">
        <v>0</v>
      </c>
      <c r="M16" s="40">
        <v>0</v>
      </c>
      <c r="N16" s="40">
        <v>0</v>
      </c>
      <c r="O16" s="40">
        <v>0</v>
      </c>
      <c r="P16" s="40">
        <v>0</v>
      </c>
      <c r="Q16" s="40">
        <v>0</v>
      </c>
      <c r="R16" s="36">
        <v>0</v>
      </c>
      <c r="S16" s="36">
        <v>0</v>
      </c>
      <c r="T16" s="36">
        <v>0</v>
      </c>
      <c r="U16" s="36">
        <v>0</v>
      </c>
      <c r="V16" s="36">
        <v>0</v>
      </c>
      <c r="W16" s="39">
        <f t="shared" si="3"/>
        <v>0</v>
      </c>
      <c r="X16" s="36">
        <v>0</v>
      </c>
      <c r="Y16" s="39">
        <f t="shared" si="4"/>
        <v>0</v>
      </c>
    </row>
    <row r="17" spans="1:25" ht="22.2" customHeight="1" x14ac:dyDescent="0.3">
      <c r="A17" s="322" t="s">
        <v>411</v>
      </c>
      <c r="B17" s="322"/>
      <c r="C17" s="322"/>
      <c r="D17" s="322"/>
      <c r="E17" s="322"/>
      <c r="F17" s="322"/>
      <c r="G17" s="35">
        <v>11</v>
      </c>
      <c r="H17" s="40">
        <v>0</v>
      </c>
      <c r="I17" s="40">
        <v>0</v>
      </c>
      <c r="J17" s="40">
        <v>0</v>
      </c>
      <c r="K17" s="40">
        <v>0</v>
      </c>
      <c r="L17" s="40">
        <v>0</v>
      </c>
      <c r="M17" s="40">
        <v>0</v>
      </c>
      <c r="N17" s="36">
        <v>0</v>
      </c>
      <c r="O17" s="36">
        <v>0</v>
      </c>
      <c r="P17" s="36">
        <v>0</v>
      </c>
      <c r="Q17" s="36">
        <v>0</v>
      </c>
      <c r="R17" s="36">
        <v>0</v>
      </c>
      <c r="S17" s="36">
        <v>0</v>
      </c>
      <c r="T17" s="36">
        <v>0</v>
      </c>
      <c r="U17" s="36">
        <v>0</v>
      </c>
      <c r="V17" s="36">
        <v>0</v>
      </c>
      <c r="W17" s="39">
        <f t="shared" si="3"/>
        <v>0</v>
      </c>
      <c r="X17" s="36">
        <v>0</v>
      </c>
      <c r="Y17" s="39">
        <f t="shared" si="4"/>
        <v>0</v>
      </c>
    </row>
    <row r="18" spans="1:25" x14ac:dyDescent="0.3">
      <c r="A18" s="322" t="s">
        <v>412</v>
      </c>
      <c r="B18" s="322"/>
      <c r="C18" s="322"/>
      <c r="D18" s="322"/>
      <c r="E18" s="322"/>
      <c r="F18" s="322"/>
      <c r="G18" s="35">
        <v>12</v>
      </c>
      <c r="H18" s="40">
        <v>0</v>
      </c>
      <c r="I18" s="40">
        <v>0</v>
      </c>
      <c r="J18" s="40">
        <v>0</v>
      </c>
      <c r="K18" s="40">
        <v>0</v>
      </c>
      <c r="L18" s="40">
        <v>0</v>
      </c>
      <c r="M18" s="40">
        <v>0</v>
      </c>
      <c r="N18" s="36">
        <v>0</v>
      </c>
      <c r="O18" s="36">
        <v>0</v>
      </c>
      <c r="P18" s="36">
        <v>0</v>
      </c>
      <c r="Q18" s="36">
        <v>0</v>
      </c>
      <c r="R18" s="36">
        <v>0</v>
      </c>
      <c r="S18" s="36">
        <v>0</v>
      </c>
      <c r="T18" s="36">
        <v>0</v>
      </c>
      <c r="U18" s="36">
        <v>0</v>
      </c>
      <c r="V18" s="36">
        <v>0</v>
      </c>
      <c r="W18" s="39">
        <f t="shared" si="3"/>
        <v>0</v>
      </c>
      <c r="X18" s="36">
        <v>0</v>
      </c>
      <c r="Y18" s="39">
        <f t="shared" si="4"/>
        <v>0</v>
      </c>
    </row>
    <row r="19" spans="1:25" x14ac:dyDescent="0.3">
      <c r="A19" s="322" t="s">
        <v>413</v>
      </c>
      <c r="B19" s="322"/>
      <c r="C19" s="322"/>
      <c r="D19" s="322"/>
      <c r="E19" s="322"/>
      <c r="F19" s="322"/>
      <c r="G19" s="35">
        <v>13</v>
      </c>
      <c r="H19" s="36">
        <v>0</v>
      </c>
      <c r="I19" s="36">
        <v>0</v>
      </c>
      <c r="J19" s="36">
        <v>0</v>
      </c>
      <c r="K19" s="36">
        <v>0</v>
      </c>
      <c r="L19" s="36">
        <v>0</v>
      </c>
      <c r="M19" s="36">
        <v>0</v>
      </c>
      <c r="N19" s="36">
        <v>0</v>
      </c>
      <c r="O19" s="36">
        <v>0</v>
      </c>
      <c r="P19" s="36">
        <v>0</v>
      </c>
      <c r="Q19" s="36">
        <v>0</v>
      </c>
      <c r="R19" s="36">
        <v>0</v>
      </c>
      <c r="S19" s="36">
        <v>0</v>
      </c>
      <c r="T19" s="36">
        <v>0</v>
      </c>
      <c r="U19" s="36">
        <v>0</v>
      </c>
      <c r="V19" s="36">
        <v>0</v>
      </c>
      <c r="W19" s="39">
        <f t="shared" si="3"/>
        <v>0</v>
      </c>
      <c r="X19" s="36">
        <v>0</v>
      </c>
      <c r="Y19" s="39">
        <f t="shared" si="4"/>
        <v>0</v>
      </c>
    </row>
    <row r="20" spans="1:25" x14ac:dyDescent="0.3">
      <c r="A20" s="322" t="s">
        <v>414</v>
      </c>
      <c r="B20" s="322"/>
      <c r="C20" s="322"/>
      <c r="D20" s="322"/>
      <c r="E20" s="322"/>
      <c r="F20" s="322"/>
      <c r="G20" s="35">
        <v>14</v>
      </c>
      <c r="H20" s="40">
        <v>0</v>
      </c>
      <c r="I20" s="40">
        <v>0</v>
      </c>
      <c r="J20" s="40">
        <v>0</v>
      </c>
      <c r="K20" s="40">
        <v>0</v>
      </c>
      <c r="L20" s="40">
        <v>0</v>
      </c>
      <c r="M20" s="40">
        <v>0</v>
      </c>
      <c r="N20" s="36">
        <v>0</v>
      </c>
      <c r="O20" s="36">
        <v>0</v>
      </c>
      <c r="P20" s="36">
        <v>0</v>
      </c>
      <c r="Q20" s="36">
        <v>0</v>
      </c>
      <c r="R20" s="36">
        <v>0</v>
      </c>
      <c r="S20" s="36">
        <v>0</v>
      </c>
      <c r="T20" s="36">
        <v>0</v>
      </c>
      <c r="U20" s="36">
        <v>0</v>
      </c>
      <c r="V20" s="36">
        <v>0</v>
      </c>
      <c r="W20" s="39">
        <f t="shared" si="3"/>
        <v>0</v>
      </c>
      <c r="X20" s="36">
        <v>0</v>
      </c>
      <c r="Y20" s="39">
        <f t="shared" si="4"/>
        <v>0</v>
      </c>
    </row>
    <row r="21" spans="1:25" ht="20.95" customHeight="1" x14ac:dyDescent="0.3">
      <c r="A21" s="322" t="s">
        <v>415</v>
      </c>
      <c r="B21" s="322"/>
      <c r="C21" s="322"/>
      <c r="D21" s="322"/>
      <c r="E21" s="322"/>
      <c r="F21" s="322"/>
      <c r="G21" s="35">
        <v>15</v>
      </c>
      <c r="H21" s="36">
        <v>0</v>
      </c>
      <c r="I21" s="36">
        <v>0</v>
      </c>
      <c r="J21" s="36">
        <v>0</v>
      </c>
      <c r="K21" s="36">
        <v>0</v>
      </c>
      <c r="L21" s="36">
        <v>0</v>
      </c>
      <c r="M21" s="36">
        <v>0</v>
      </c>
      <c r="N21" s="36">
        <v>0</v>
      </c>
      <c r="O21" s="36">
        <v>0</v>
      </c>
      <c r="P21" s="36">
        <v>0</v>
      </c>
      <c r="Q21" s="36">
        <v>0</v>
      </c>
      <c r="R21" s="36">
        <v>0</v>
      </c>
      <c r="S21" s="36">
        <v>0</v>
      </c>
      <c r="T21" s="36">
        <v>0</v>
      </c>
      <c r="U21" s="36">
        <v>0</v>
      </c>
      <c r="V21" s="36">
        <v>0</v>
      </c>
      <c r="W21" s="39">
        <f t="shared" si="3"/>
        <v>0</v>
      </c>
      <c r="X21" s="36">
        <v>0</v>
      </c>
      <c r="Y21" s="39">
        <f t="shared" si="4"/>
        <v>0</v>
      </c>
    </row>
    <row r="22" spans="1:25" ht="20.95" customHeight="1" x14ac:dyDescent="0.3">
      <c r="A22" s="322" t="s">
        <v>416</v>
      </c>
      <c r="B22" s="322"/>
      <c r="C22" s="322"/>
      <c r="D22" s="322"/>
      <c r="E22" s="322"/>
      <c r="F22" s="322"/>
      <c r="G22" s="35">
        <v>16</v>
      </c>
      <c r="H22" s="36">
        <v>0</v>
      </c>
      <c r="I22" s="36">
        <v>0</v>
      </c>
      <c r="J22" s="36">
        <v>0</v>
      </c>
      <c r="K22" s="36">
        <v>0</v>
      </c>
      <c r="L22" s="36">
        <v>0</v>
      </c>
      <c r="M22" s="36">
        <v>0</v>
      </c>
      <c r="N22" s="36">
        <v>0</v>
      </c>
      <c r="O22" s="36">
        <v>0</v>
      </c>
      <c r="P22" s="36">
        <v>0</v>
      </c>
      <c r="Q22" s="36">
        <v>0</v>
      </c>
      <c r="R22" s="36">
        <v>0</v>
      </c>
      <c r="S22" s="36">
        <v>0</v>
      </c>
      <c r="T22" s="36">
        <v>0</v>
      </c>
      <c r="U22" s="36">
        <v>0</v>
      </c>
      <c r="V22" s="36">
        <v>0</v>
      </c>
      <c r="W22" s="39">
        <f t="shared" si="3"/>
        <v>0</v>
      </c>
      <c r="X22" s="36">
        <v>0</v>
      </c>
      <c r="Y22" s="39">
        <f t="shared" si="4"/>
        <v>0</v>
      </c>
    </row>
    <row r="23" spans="1:25" x14ac:dyDescent="0.3">
      <c r="A23" s="322" t="s">
        <v>417</v>
      </c>
      <c r="B23" s="322"/>
      <c r="C23" s="322"/>
      <c r="D23" s="322"/>
      <c r="E23" s="322"/>
      <c r="F23" s="322"/>
      <c r="G23" s="35">
        <v>17</v>
      </c>
      <c r="H23" s="36">
        <v>0</v>
      </c>
      <c r="I23" s="36">
        <v>0</v>
      </c>
      <c r="J23" s="36">
        <v>0</v>
      </c>
      <c r="K23" s="36">
        <v>0</v>
      </c>
      <c r="L23" s="36">
        <v>0</v>
      </c>
      <c r="M23" s="36">
        <v>0</v>
      </c>
      <c r="N23" s="36">
        <v>0</v>
      </c>
      <c r="O23" s="36">
        <v>0</v>
      </c>
      <c r="P23" s="36">
        <v>0</v>
      </c>
      <c r="Q23" s="36">
        <v>0</v>
      </c>
      <c r="R23" s="36">
        <v>0</v>
      </c>
      <c r="S23" s="36">
        <v>0</v>
      </c>
      <c r="T23" s="36">
        <v>0</v>
      </c>
      <c r="U23" s="36">
        <v>0</v>
      </c>
      <c r="V23" s="36">
        <v>0</v>
      </c>
      <c r="W23" s="39">
        <f t="shared" si="3"/>
        <v>0</v>
      </c>
      <c r="X23" s="36">
        <v>0</v>
      </c>
      <c r="Y23" s="39">
        <f t="shared" si="4"/>
        <v>0</v>
      </c>
    </row>
    <row r="24" spans="1:25" x14ac:dyDescent="0.3">
      <c r="A24" s="322" t="s">
        <v>418</v>
      </c>
      <c r="B24" s="322"/>
      <c r="C24" s="322"/>
      <c r="D24" s="322"/>
      <c r="E24" s="322"/>
      <c r="F24" s="322"/>
      <c r="G24" s="35">
        <v>18</v>
      </c>
      <c r="H24" s="36">
        <v>0</v>
      </c>
      <c r="I24" s="36">
        <v>0</v>
      </c>
      <c r="J24" s="36">
        <v>0</v>
      </c>
      <c r="K24" s="36">
        <v>0</v>
      </c>
      <c r="L24" s="36">
        <v>0</v>
      </c>
      <c r="M24" s="36">
        <v>0</v>
      </c>
      <c r="N24" s="36">
        <v>0</v>
      </c>
      <c r="O24" s="36">
        <v>0</v>
      </c>
      <c r="P24" s="36">
        <v>0</v>
      </c>
      <c r="Q24" s="36">
        <v>0</v>
      </c>
      <c r="R24" s="36">
        <v>0</v>
      </c>
      <c r="S24" s="36">
        <v>0</v>
      </c>
      <c r="T24" s="36">
        <v>0</v>
      </c>
      <c r="U24" s="36">
        <v>0</v>
      </c>
      <c r="V24" s="36">
        <v>0</v>
      </c>
      <c r="W24" s="39">
        <f t="shared" si="3"/>
        <v>0</v>
      </c>
      <c r="X24" s="36">
        <v>0</v>
      </c>
      <c r="Y24" s="39">
        <f t="shared" si="4"/>
        <v>0</v>
      </c>
    </row>
    <row r="25" spans="1:25" x14ac:dyDescent="0.3">
      <c r="A25" s="322" t="s">
        <v>419</v>
      </c>
      <c r="B25" s="322"/>
      <c r="C25" s="322"/>
      <c r="D25" s="322"/>
      <c r="E25" s="322"/>
      <c r="F25" s="322"/>
      <c r="G25" s="35">
        <v>19</v>
      </c>
      <c r="H25" s="36">
        <v>10719270</v>
      </c>
      <c r="I25" s="36">
        <v>24654321</v>
      </c>
      <c r="J25" s="36">
        <v>0</v>
      </c>
      <c r="K25" s="36">
        <v>0</v>
      </c>
      <c r="L25" s="36">
        <v>0</v>
      </c>
      <c r="M25" s="36">
        <v>0</v>
      </c>
      <c r="N25" s="36">
        <v>0</v>
      </c>
      <c r="O25" s="36">
        <v>0</v>
      </c>
      <c r="P25" s="36">
        <v>0</v>
      </c>
      <c r="Q25" s="36">
        <v>0</v>
      </c>
      <c r="R25" s="36">
        <v>0</v>
      </c>
      <c r="S25" s="36">
        <v>0</v>
      </c>
      <c r="T25" s="36">
        <v>0</v>
      </c>
      <c r="U25" s="36">
        <v>0</v>
      </c>
      <c r="V25" s="36">
        <v>0</v>
      </c>
      <c r="W25" s="39">
        <f t="shared" si="3"/>
        <v>35373591</v>
      </c>
      <c r="X25" s="36">
        <v>0</v>
      </c>
      <c r="Y25" s="39">
        <f t="shared" si="4"/>
        <v>35373591</v>
      </c>
    </row>
    <row r="26" spans="1:25" x14ac:dyDescent="0.3">
      <c r="A26" s="322" t="s">
        <v>420</v>
      </c>
      <c r="B26" s="322"/>
      <c r="C26" s="322"/>
      <c r="D26" s="322"/>
      <c r="E26" s="322"/>
      <c r="F26" s="322"/>
      <c r="G26" s="35">
        <v>20</v>
      </c>
      <c r="H26" s="36">
        <v>0</v>
      </c>
      <c r="I26" s="36">
        <v>0</v>
      </c>
      <c r="J26" s="36">
        <v>0</v>
      </c>
      <c r="K26" s="36">
        <v>0</v>
      </c>
      <c r="L26" s="36">
        <v>0</v>
      </c>
      <c r="M26" s="36">
        <v>0</v>
      </c>
      <c r="N26" s="36">
        <v>0</v>
      </c>
      <c r="O26" s="36">
        <v>0</v>
      </c>
      <c r="P26" s="36">
        <v>0</v>
      </c>
      <c r="Q26" s="36">
        <v>0</v>
      </c>
      <c r="R26" s="36">
        <v>0</v>
      </c>
      <c r="S26" s="36">
        <v>0</v>
      </c>
      <c r="T26" s="36">
        <v>0</v>
      </c>
      <c r="U26" s="36">
        <v>-6206655</v>
      </c>
      <c r="V26" s="36">
        <v>0</v>
      </c>
      <c r="W26" s="39">
        <f t="shared" si="3"/>
        <v>-6206655</v>
      </c>
      <c r="X26" s="36">
        <v>0</v>
      </c>
      <c r="Y26" s="39">
        <f t="shared" si="4"/>
        <v>-6206655</v>
      </c>
    </row>
    <row r="27" spans="1:25" x14ac:dyDescent="0.3">
      <c r="A27" s="322" t="s">
        <v>421</v>
      </c>
      <c r="B27" s="322"/>
      <c r="C27" s="322"/>
      <c r="D27" s="322"/>
      <c r="E27" s="322"/>
      <c r="F27" s="322"/>
      <c r="G27" s="35">
        <v>21</v>
      </c>
      <c r="H27" s="36">
        <v>0</v>
      </c>
      <c r="I27" s="36">
        <v>0</v>
      </c>
      <c r="J27" s="36">
        <v>0</v>
      </c>
      <c r="K27" s="36">
        <v>0</v>
      </c>
      <c r="L27" s="36">
        <v>0</v>
      </c>
      <c r="M27" s="36">
        <v>0</v>
      </c>
      <c r="N27" s="36">
        <v>0</v>
      </c>
      <c r="O27" s="36">
        <v>0</v>
      </c>
      <c r="P27" s="36">
        <v>0</v>
      </c>
      <c r="Q27" s="36">
        <v>0</v>
      </c>
      <c r="R27" s="36">
        <v>0</v>
      </c>
      <c r="S27" s="36">
        <v>0</v>
      </c>
      <c r="T27" s="36">
        <v>0</v>
      </c>
      <c r="U27" s="36">
        <v>0</v>
      </c>
      <c r="V27" s="36">
        <v>0</v>
      </c>
      <c r="W27" s="39">
        <f t="shared" si="3"/>
        <v>0</v>
      </c>
      <c r="X27" s="36">
        <v>0</v>
      </c>
      <c r="Y27" s="39">
        <f t="shared" si="4"/>
        <v>0</v>
      </c>
    </row>
    <row r="28" spans="1:25" x14ac:dyDescent="0.3">
      <c r="A28" s="322" t="s">
        <v>422</v>
      </c>
      <c r="B28" s="322"/>
      <c r="C28" s="322"/>
      <c r="D28" s="322"/>
      <c r="E28" s="322"/>
      <c r="F28" s="322"/>
      <c r="G28" s="35">
        <v>22</v>
      </c>
      <c r="H28" s="36">
        <v>0</v>
      </c>
      <c r="I28" s="36">
        <v>0</v>
      </c>
      <c r="J28" s="36">
        <v>0</v>
      </c>
      <c r="K28" s="36">
        <v>0</v>
      </c>
      <c r="L28" s="36">
        <v>0</v>
      </c>
      <c r="M28" s="36">
        <v>0</v>
      </c>
      <c r="N28" s="36">
        <v>0</v>
      </c>
      <c r="O28" s="36">
        <v>0</v>
      </c>
      <c r="P28" s="36">
        <v>0</v>
      </c>
      <c r="Q28" s="36">
        <v>0</v>
      </c>
      <c r="R28" s="36">
        <v>0</v>
      </c>
      <c r="S28" s="36">
        <v>0</v>
      </c>
      <c r="T28" s="36">
        <v>0</v>
      </c>
      <c r="U28" s="36">
        <v>0</v>
      </c>
      <c r="V28" s="36">
        <v>0</v>
      </c>
      <c r="W28" s="39">
        <f t="shared" si="3"/>
        <v>0</v>
      </c>
      <c r="X28" s="36">
        <v>0</v>
      </c>
      <c r="Y28" s="39">
        <f t="shared" si="4"/>
        <v>0</v>
      </c>
    </row>
    <row r="29" spans="1:25" x14ac:dyDescent="0.3">
      <c r="A29" s="322" t="s">
        <v>423</v>
      </c>
      <c r="B29" s="322"/>
      <c r="C29" s="322"/>
      <c r="D29" s="322"/>
      <c r="E29" s="322"/>
      <c r="F29" s="322"/>
      <c r="G29" s="35">
        <v>23</v>
      </c>
      <c r="H29" s="36">
        <v>0</v>
      </c>
      <c r="I29" s="36">
        <v>0</v>
      </c>
      <c r="J29" s="36">
        <v>0</v>
      </c>
      <c r="K29" s="36">
        <v>0</v>
      </c>
      <c r="L29" s="36">
        <v>0</v>
      </c>
      <c r="M29" s="36">
        <v>0</v>
      </c>
      <c r="N29" s="36">
        <v>0</v>
      </c>
      <c r="O29" s="36">
        <v>0</v>
      </c>
      <c r="P29" s="36">
        <v>0</v>
      </c>
      <c r="Q29" s="36">
        <v>0</v>
      </c>
      <c r="R29" s="36">
        <v>0</v>
      </c>
      <c r="S29" s="36">
        <v>0</v>
      </c>
      <c r="T29" s="36">
        <v>0</v>
      </c>
      <c r="U29" s="36">
        <v>0</v>
      </c>
      <c r="V29" s="36">
        <v>0</v>
      </c>
      <c r="W29" s="39">
        <f t="shared" si="3"/>
        <v>0</v>
      </c>
      <c r="X29" s="36">
        <v>0</v>
      </c>
      <c r="Y29" s="39">
        <f t="shared" si="4"/>
        <v>0</v>
      </c>
    </row>
    <row r="30" spans="1:25" ht="20.95" customHeight="1" x14ac:dyDescent="0.3">
      <c r="A30" s="333" t="s">
        <v>424</v>
      </c>
      <c r="B30" s="333"/>
      <c r="C30" s="333"/>
      <c r="D30" s="333"/>
      <c r="E30" s="333"/>
      <c r="F30" s="333"/>
      <c r="G30" s="41">
        <v>24</v>
      </c>
      <c r="H30" s="42">
        <f>SUM(H10:H29)</f>
        <v>106730270</v>
      </c>
      <c r="I30" s="42">
        <f t="shared" ref="I30:Y30" si="5">SUM(I10:I29)</f>
        <v>89604321</v>
      </c>
      <c r="J30" s="42">
        <f t="shared" si="5"/>
        <v>571419</v>
      </c>
      <c r="K30" s="42">
        <f t="shared" si="5"/>
        <v>1190650</v>
      </c>
      <c r="L30" s="42">
        <f t="shared" si="5"/>
        <v>1190650</v>
      </c>
      <c r="M30" s="42">
        <f t="shared" si="5"/>
        <v>0</v>
      </c>
      <c r="N30" s="42">
        <f t="shared" si="5"/>
        <v>0</v>
      </c>
      <c r="O30" s="42">
        <f t="shared" si="5"/>
        <v>-12534696</v>
      </c>
      <c r="P30" s="42">
        <f t="shared" si="5"/>
        <v>0</v>
      </c>
      <c r="Q30" s="42">
        <f t="shared" si="5"/>
        <v>0</v>
      </c>
      <c r="R30" s="42">
        <f t="shared" si="5"/>
        <v>0</v>
      </c>
      <c r="S30" s="42">
        <f t="shared" si="5"/>
        <v>0</v>
      </c>
      <c r="T30" s="42">
        <f t="shared" si="5"/>
        <v>0</v>
      </c>
      <c r="U30" s="42">
        <f t="shared" si="5"/>
        <v>10406198</v>
      </c>
      <c r="V30" s="42">
        <f t="shared" si="5"/>
        <v>15142468</v>
      </c>
      <c r="W30" s="42">
        <f t="shared" si="5"/>
        <v>209919980</v>
      </c>
      <c r="X30" s="42">
        <f t="shared" si="5"/>
        <v>0</v>
      </c>
      <c r="Y30" s="42">
        <f t="shared" si="5"/>
        <v>209919980</v>
      </c>
    </row>
    <row r="31" spans="1:25" x14ac:dyDescent="0.3">
      <c r="A31" s="334" t="s">
        <v>425</v>
      </c>
      <c r="B31" s="335"/>
      <c r="C31" s="335"/>
      <c r="D31" s="335"/>
      <c r="E31" s="335"/>
      <c r="F31" s="335"/>
      <c r="G31" s="335"/>
      <c r="H31" s="335"/>
      <c r="I31" s="335"/>
      <c r="J31" s="335"/>
      <c r="K31" s="335"/>
      <c r="L31" s="335"/>
      <c r="M31" s="335"/>
      <c r="N31" s="335"/>
      <c r="O31" s="335"/>
      <c r="P31" s="335"/>
      <c r="Q31" s="335"/>
      <c r="R31" s="335"/>
      <c r="S31" s="335"/>
      <c r="T31" s="335"/>
      <c r="U31" s="335"/>
      <c r="V31" s="335"/>
      <c r="W31" s="335"/>
      <c r="X31" s="335"/>
      <c r="Y31" s="335"/>
    </row>
    <row r="32" spans="1:25" ht="20.45" customHeight="1" x14ac:dyDescent="0.3">
      <c r="A32" s="336" t="s">
        <v>426</v>
      </c>
      <c r="B32" s="337"/>
      <c r="C32" s="337"/>
      <c r="D32" s="337"/>
      <c r="E32" s="337"/>
      <c r="F32" s="337"/>
      <c r="G32" s="38">
        <v>25</v>
      </c>
      <c r="H32" s="39">
        <f>SUM(H12:H20)</f>
        <v>0</v>
      </c>
      <c r="I32" s="39">
        <f t="shared" ref="I32:Y32" si="6">SUM(I12:I20)</f>
        <v>0</v>
      </c>
      <c r="J32" s="39">
        <f t="shared" si="6"/>
        <v>0</v>
      </c>
      <c r="K32" s="39">
        <f t="shared" si="6"/>
        <v>0</v>
      </c>
      <c r="L32" s="39">
        <f t="shared" si="6"/>
        <v>0</v>
      </c>
      <c r="M32" s="39">
        <f t="shared" si="6"/>
        <v>0</v>
      </c>
      <c r="N32" s="39">
        <f t="shared" si="6"/>
        <v>0</v>
      </c>
      <c r="O32" s="39">
        <f t="shared" si="6"/>
        <v>4056210</v>
      </c>
      <c r="P32" s="39">
        <f t="shared" si="6"/>
        <v>0</v>
      </c>
      <c r="Q32" s="39">
        <f t="shared" si="6"/>
        <v>0</v>
      </c>
      <c r="R32" s="39">
        <f t="shared" si="6"/>
        <v>0</v>
      </c>
      <c r="S32" s="39">
        <f t="shared" si="6"/>
        <v>0</v>
      </c>
      <c r="T32" s="39">
        <f t="shared" si="6"/>
        <v>0</v>
      </c>
      <c r="U32" s="39">
        <f t="shared" si="6"/>
        <v>0</v>
      </c>
      <c r="V32" s="39">
        <f t="shared" si="6"/>
        <v>0</v>
      </c>
      <c r="W32" s="39">
        <f t="shared" si="6"/>
        <v>4056210</v>
      </c>
      <c r="X32" s="39">
        <f t="shared" si="6"/>
        <v>0</v>
      </c>
      <c r="Y32" s="39">
        <f t="shared" si="6"/>
        <v>4056210</v>
      </c>
    </row>
    <row r="33" spans="1:25" ht="20.45" customHeight="1" x14ac:dyDescent="0.3">
      <c r="A33" s="336" t="s">
        <v>427</v>
      </c>
      <c r="B33" s="337"/>
      <c r="C33" s="337"/>
      <c r="D33" s="337"/>
      <c r="E33" s="337"/>
      <c r="F33" s="337"/>
      <c r="G33" s="38">
        <v>26</v>
      </c>
      <c r="H33" s="39">
        <f>H11+H32</f>
        <v>0</v>
      </c>
      <c r="I33" s="39">
        <f t="shared" ref="I33:Y33" si="7">I11+I32</f>
        <v>0</v>
      </c>
      <c r="J33" s="39">
        <f t="shared" si="7"/>
        <v>0</v>
      </c>
      <c r="K33" s="39">
        <f t="shared" si="7"/>
        <v>0</v>
      </c>
      <c r="L33" s="39">
        <f t="shared" si="7"/>
        <v>0</v>
      </c>
      <c r="M33" s="39">
        <f t="shared" si="7"/>
        <v>0</v>
      </c>
      <c r="N33" s="39">
        <f t="shared" si="7"/>
        <v>0</v>
      </c>
      <c r="O33" s="39">
        <f t="shared" si="7"/>
        <v>4056210</v>
      </c>
      <c r="P33" s="39">
        <f t="shared" si="7"/>
        <v>0</v>
      </c>
      <c r="Q33" s="39">
        <f t="shared" si="7"/>
        <v>0</v>
      </c>
      <c r="R33" s="39">
        <f t="shared" si="7"/>
        <v>0</v>
      </c>
      <c r="S33" s="39">
        <f t="shared" si="7"/>
        <v>0</v>
      </c>
      <c r="T33" s="39">
        <f t="shared" si="7"/>
        <v>0</v>
      </c>
      <c r="U33" s="39">
        <f t="shared" si="7"/>
        <v>0</v>
      </c>
      <c r="V33" s="39">
        <f t="shared" si="7"/>
        <v>15142468</v>
      </c>
      <c r="W33" s="39">
        <f t="shared" si="7"/>
        <v>19198678</v>
      </c>
      <c r="X33" s="39">
        <f t="shared" si="7"/>
        <v>0</v>
      </c>
      <c r="Y33" s="39">
        <f t="shared" si="7"/>
        <v>19198678</v>
      </c>
    </row>
    <row r="34" spans="1:25" ht="20.45" customHeight="1" x14ac:dyDescent="0.3">
      <c r="A34" s="338" t="s">
        <v>428</v>
      </c>
      <c r="B34" s="339"/>
      <c r="C34" s="339"/>
      <c r="D34" s="339"/>
      <c r="E34" s="339"/>
      <c r="F34" s="339"/>
      <c r="G34" s="38">
        <v>27</v>
      </c>
      <c r="H34" s="42">
        <f>SUM(H21:H29)</f>
        <v>10719270</v>
      </c>
      <c r="I34" s="42">
        <f t="shared" ref="I34:Y34" si="8">SUM(I21:I29)</f>
        <v>24654321</v>
      </c>
      <c r="J34" s="42">
        <f t="shared" si="8"/>
        <v>0</v>
      </c>
      <c r="K34" s="42">
        <f t="shared" si="8"/>
        <v>0</v>
      </c>
      <c r="L34" s="42">
        <f t="shared" si="8"/>
        <v>0</v>
      </c>
      <c r="M34" s="42">
        <f t="shared" si="8"/>
        <v>0</v>
      </c>
      <c r="N34" s="42">
        <f t="shared" si="8"/>
        <v>0</v>
      </c>
      <c r="O34" s="42">
        <f t="shared" si="8"/>
        <v>0</v>
      </c>
      <c r="P34" s="42">
        <f t="shared" si="8"/>
        <v>0</v>
      </c>
      <c r="Q34" s="42">
        <f t="shared" si="8"/>
        <v>0</v>
      </c>
      <c r="R34" s="42">
        <f t="shared" si="8"/>
        <v>0</v>
      </c>
      <c r="S34" s="42">
        <f t="shared" si="8"/>
        <v>0</v>
      </c>
      <c r="T34" s="42">
        <f t="shared" si="8"/>
        <v>0</v>
      </c>
      <c r="U34" s="42">
        <f t="shared" si="8"/>
        <v>-6206655</v>
      </c>
      <c r="V34" s="42">
        <f t="shared" si="8"/>
        <v>0</v>
      </c>
      <c r="W34" s="42">
        <f t="shared" si="8"/>
        <v>29166936</v>
      </c>
      <c r="X34" s="42">
        <f t="shared" si="8"/>
        <v>0</v>
      </c>
      <c r="Y34" s="42">
        <f t="shared" si="8"/>
        <v>29166936</v>
      </c>
    </row>
    <row r="35" spans="1:25" x14ac:dyDescent="0.3">
      <c r="A35" s="334" t="s">
        <v>429</v>
      </c>
      <c r="B35" s="340"/>
      <c r="C35" s="340"/>
      <c r="D35" s="340"/>
      <c r="E35" s="340"/>
      <c r="F35" s="340"/>
      <c r="G35" s="340"/>
      <c r="H35" s="340"/>
      <c r="I35" s="340"/>
      <c r="J35" s="340"/>
      <c r="K35" s="340"/>
      <c r="L35" s="340"/>
      <c r="M35" s="340"/>
      <c r="N35" s="340"/>
      <c r="O35" s="340"/>
      <c r="P35" s="340"/>
      <c r="Q35" s="340"/>
      <c r="R35" s="340"/>
      <c r="S35" s="340"/>
      <c r="T35" s="340"/>
      <c r="U35" s="340"/>
      <c r="V35" s="340"/>
      <c r="W35" s="340"/>
      <c r="X35" s="340"/>
      <c r="Y35" s="340"/>
    </row>
    <row r="36" spans="1:25" x14ac:dyDescent="0.3">
      <c r="A36" s="330" t="s">
        <v>430</v>
      </c>
      <c r="B36" s="330"/>
      <c r="C36" s="330"/>
      <c r="D36" s="330"/>
      <c r="E36" s="330"/>
      <c r="F36" s="330"/>
      <c r="G36" s="35">
        <v>28</v>
      </c>
      <c r="H36" s="36">
        <v>106730270</v>
      </c>
      <c r="I36" s="36">
        <v>89604321</v>
      </c>
      <c r="J36" s="36">
        <v>571419</v>
      </c>
      <c r="K36" s="36">
        <v>1190650</v>
      </c>
      <c r="L36" s="36">
        <v>1190650</v>
      </c>
      <c r="M36" s="36">
        <v>0</v>
      </c>
      <c r="N36" s="36">
        <v>0</v>
      </c>
      <c r="O36" s="36">
        <v>-12534696</v>
      </c>
      <c r="P36" s="36">
        <v>0</v>
      </c>
      <c r="Q36" s="36">
        <v>0</v>
      </c>
      <c r="R36" s="36">
        <v>0</v>
      </c>
      <c r="S36" s="36">
        <v>0</v>
      </c>
      <c r="T36" s="36">
        <v>0</v>
      </c>
      <c r="U36" s="36">
        <v>25548666</v>
      </c>
      <c r="V36" s="36">
        <v>0</v>
      </c>
      <c r="W36" s="37">
        <f>H36+I36+J36+K36-L36+M36+N36+O36+P36+Q36+R36+U36+V36+S36+T36</f>
        <v>209919980</v>
      </c>
      <c r="X36" s="36">
        <v>0</v>
      </c>
      <c r="Y36" s="37">
        <f t="shared" ref="Y36:Y38" si="9">W36+X36</f>
        <v>209919980</v>
      </c>
    </row>
    <row r="37" spans="1:25" x14ac:dyDescent="0.3">
      <c r="A37" s="322" t="s">
        <v>402</v>
      </c>
      <c r="B37" s="322"/>
      <c r="C37" s="322"/>
      <c r="D37" s="322"/>
      <c r="E37" s="322"/>
      <c r="F37" s="322"/>
      <c r="G37" s="35">
        <v>29</v>
      </c>
      <c r="H37" s="36">
        <v>0</v>
      </c>
      <c r="I37" s="36">
        <v>0</v>
      </c>
      <c r="J37" s="36">
        <v>0</v>
      </c>
      <c r="K37" s="36">
        <v>0</v>
      </c>
      <c r="L37" s="36">
        <v>0</v>
      </c>
      <c r="M37" s="36">
        <v>0</v>
      </c>
      <c r="N37" s="36">
        <v>0</v>
      </c>
      <c r="O37" s="36">
        <v>0</v>
      </c>
      <c r="P37" s="36">
        <v>0</v>
      </c>
      <c r="Q37" s="36">
        <v>0</v>
      </c>
      <c r="R37" s="36">
        <v>0</v>
      </c>
      <c r="S37" s="36">
        <v>0</v>
      </c>
      <c r="T37" s="36">
        <v>0</v>
      </c>
      <c r="U37" s="36">
        <v>0</v>
      </c>
      <c r="V37" s="36">
        <v>0</v>
      </c>
      <c r="W37" s="37">
        <f t="shared" ref="W37:W38" si="10">H37+I37+J37+K37-L37+M37+N37+O37+P37+Q37+R37+U37+V37+S37+T37</f>
        <v>0</v>
      </c>
      <c r="X37" s="36">
        <v>0</v>
      </c>
      <c r="Y37" s="37">
        <f t="shared" si="9"/>
        <v>0</v>
      </c>
    </row>
    <row r="38" spans="1:25" x14ac:dyDescent="0.3">
      <c r="A38" s="322" t="s">
        <v>403</v>
      </c>
      <c r="B38" s="322"/>
      <c r="C38" s="322"/>
      <c r="D38" s="322"/>
      <c r="E38" s="322"/>
      <c r="F38" s="322"/>
      <c r="G38" s="35">
        <v>30</v>
      </c>
      <c r="H38" s="36">
        <v>0</v>
      </c>
      <c r="I38" s="36">
        <v>0</v>
      </c>
      <c r="J38" s="36">
        <v>0</v>
      </c>
      <c r="K38" s="36">
        <v>0</v>
      </c>
      <c r="L38" s="36">
        <v>0</v>
      </c>
      <c r="M38" s="36">
        <v>0</v>
      </c>
      <c r="N38" s="36">
        <v>0</v>
      </c>
      <c r="O38" s="36">
        <v>0</v>
      </c>
      <c r="P38" s="36">
        <v>0</v>
      </c>
      <c r="Q38" s="36">
        <v>0</v>
      </c>
      <c r="R38" s="36">
        <v>0</v>
      </c>
      <c r="S38" s="36">
        <v>0</v>
      </c>
      <c r="T38" s="36">
        <v>0</v>
      </c>
      <c r="U38" s="36">
        <v>0</v>
      </c>
      <c r="V38" s="36">
        <v>0</v>
      </c>
      <c r="W38" s="37">
        <f t="shared" si="10"/>
        <v>0</v>
      </c>
      <c r="X38" s="36">
        <v>0</v>
      </c>
      <c r="Y38" s="37">
        <f t="shared" si="9"/>
        <v>0</v>
      </c>
    </row>
    <row r="39" spans="1:25" x14ac:dyDescent="0.3">
      <c r="A39" s="332" t="s">
        <v>431</v>
      </c>
      <c r="B39" s="332"/>
      <c r="C39" s="332"/>
      <c r="D39" s="332"/>
      <c r="E39" s="332"/>
      <c r="F39" s="332"/>
      <c r="G39" s="38">
        <v>31</v>
      </c>
      <c r="H39" s="39">
        <f>H36+H37+H38</f>
        <v>106730270</v>
      </c>
      <c r="I39" s="39">
        <f t="shared" ref="I39:Y39" si="11">I36+I37+I38</f>
        <v>89604321</v>
      </c>
      <c r="J39" s="39">
        <f t="shared" si="11"/>
        <v>571419</v>
      </c>
      <c r="K39" s="39">
        <f t="shared" si="11"/>
        <v>1190650</v>
      </c>
      <c r="L39" s="39">
        <f t="shared" si="11"/>
        <v>1190650</v>
      </c>
      <c r="M39" s="39">
        <f t="shared" si="11"/>
        <v>0</v>
      </c>
      <c r="N39" s="39">
        <f t="shared" si="11"/>
        <v>0</v>
      </c>
      <c r="O39" s="39">
        <f t="shared" si="11"/>
        <v>-12534696</v>
      </c>
      <c r="P39" s="39">
        <f t="shared" si="11"/>
        <v>0</v>
      </c>
      <c r="Q39" s="39">
        <f t="shared" si="11"/>
        <v>0</v>
      </c>
      <c r="R39" s="39">
        <f t="shared" si="11"/>
        <v>0</v>
      </c>
      <c r="S39" s="39">
        <f t="shared" si="11"/>
        <v>0</v>
      </c>
      <c r="T39" s="39">
        <f t="shared" si="11"/>
        <v>0</v>
      </c>
      <c r="U39" s="39">
        <f t="shared" si="11"/>
        <v>25548666</v>
      </c>
      <c r="V39" s="39">
        <f t="shared" si="11"/>
        <v>0</v>
      </c>
      <c r="W39" s="39">
        <f t="shared" si="11"/>
        <v>209919980</v>
      </c>
      <c r="X39" s="39">
        <f t="shared" si="11"/>
        <v>0</v>
      </c>
      <c r="Y39" s="39">
        <f t="shared" si="11"/>
        <v>209919980</v>
      </c>
    </row>
    <row r="40" spans="1:25" x14ac:dyDescent="0.3">
      <c r="A40" s="322" t="s">
        <v>405</v>
      </c>
      <c r="B40" s="322"/>
      <c r="C40" s="322"/>
      <c r="D40" s="322"/>
      <c r="E40" s="322"/>
      <c r="F40" s="322"/>
      <c r="G40" s="35">
        <v>32</v>
      </c>
      <c r="H40" s="40">
        <v>0</v>
      </c>
      <c r="I40" s="40">
        <v>0</v>
      </c>
      <c r="J40" s="40">
        <v>0</v>
      </c>
      <c r="K40" s="40">
        <v>0</v>
      </c>
      <c r="L40" s="40">
        <v>0</v>
      </c>
      <c r="M40" s="40">
        <v>0</v>
      </c>
      <c r="N40" s="40">
        <v>0</v>
      </c>
      <c r="O40" s="40">
        <v>0</v>
      </c>
      <c r="P40" s="40">
        <v>0</v>
      </c>
      <c r="Q40" s="40">
        <v>0</v>
      </c>
      <c r="R40" s="40">
        <v>0</v>
      </c>
      <c r="S40" s="36">
        <v>0</v>
      </c>
      <c r="T40" s="36">
        <v>0</v>
      </c>
      <c r="U40" s="40">
        <v>0</v>
      </c>
      <c r="V40" s="36">
        <v>24437550</v>
      </c>
      <c r="W40" s="37">
        <f t="shared" ref="W40:W58" si="12">H40+I40+J40+K40-L40+M40+N40+O40+P40+Q40+R40+U40+V40+S40+T40</f>
        <v>24437550</v>
      </c>
      <c r="X40" s="36">
        <v>0</v>
      </c>
      <c r="Y40" s="37">
        <f t="shared" ref="Y40:Y58" si="13">W40+X40</f>
        <v>24437550</v>
      </c>
    </row>
    <row r="41" spans="1:25" x14ac:dyDescent="0.3">
      <c r="A41" s="322" t="s">
        <v>406</v>
      </c>
      <c r="B41" s="322"/>
      <c r="C41" s="322"/>
      <c r="D41" s="322"/>
      <c r="E41" s="322"/>
      <c r="F41" s="322"/>
      <c r="G41" s="35">
        <v>33</v>
      </c>
      <c r="H41" s="40">
        <v>0</v>
      </c>
      <c r="I41" s="40">
        <v>0</v>
      </c>
      <c r="J41" s="40">
        <v>0</v>
      </c>
      <c r="K41" s="40">
        <v>0</v>
      </c>
      <c r="L41" s="40">
        <v>0</v>
      </c>
      <c r="M41" s="40">
        <v>0</v>
      </c>
      <c r="N41" s="36">
        <v>0</v>
      </c>
      <c r="O41" s="40">
        <v>0</v>
      </c>
      <c r="P41" s="40">
        <v>0</v>
      </c>
      <c r="Q41" s="40">
        <v>0</v>
      </c>
      <c r="R41" s="40">
        <v>0</v>
      </c>
      <c r="S41" s="36">
        <v>0</v>
      </c>
      <c r="T41" s="36">
        <v>0</v>
      </c>
      <c r="U41" s="40">
        <v>0</v>
      </c>
      <c r="V41" s="40">
        <v>0</v>
      </c>
      <c r="W41" s="37">
        <f t="shared" si="12"/>
        <v>0</v>
      </c>
      <c r="X41" s="36">
        <v>0</v>
      </c>
      <c r="Y41" s="37">
        <f t="shared" si="13"/>
        <v>0</v>
      </c>
    </row>
    <row r="42" spans="1:25" x14ac:dyDescent="0.3">
      <c r="A42" s="322" t="s">
        <v>407</v>
      </c>
      <c r="B42" s="322"/>
      <c r="C42" s="322"/>
      <c r="D42" s="322"/>
      <c r="E42" s="322"/>
      <c r="F42" s="322"/>
      <c r="G42" s="35">
        <v>34</v>
      </c>
      <c r="H42" s="40">
        <v>0</v>
      </c>
      <c r="I42" s="40">
        <v>0</v>
      </c>
      <c r="J42" s="40">
        <v>0</v>
      </c>
      <c r="K42" s="40">
        <v>0</v>
      </c>
      <c r="L42" s="40">
        <v>0</v>
      </c>
      <c r="M42" s="40">
        <v>0</v>
      </c>
      <c r="N42" s="40">
        <v>0</v>
      </c>
      <c r="O42" s="36">
        <v>-6517850</v>
      </c>
      <c r="P42" s="40">
        <v>0</v>
      </c>
      <c r="Q42" s="40">
        <v>0</v>
      </c>
      <c r="R42" s="40">
        <v>0</v>
      </c>
      <c r="S42" s="36">
        <v>0</v>
      </c>
      <c r="T42" s="36">
        <v>0</v>
      </c>
      <c r="U42" s="36">
        <v>0</v>
      </c>
      <c r="V42" s="36">
        <v>0</v>
      </c>
      <c r="W42" s="37">
        <f t="shared" si="12"/>
        <v>-6517850</v>
      </c>
      <c r="X42" s="36">
        <v>0</v>
      </c>
      <c r="Y42" s="37">
        <f t="shared" si="13"/>
        <v>-6517850</v>
      </c>
    </row>
    <row r="43" spans="1:25" ht="20.95" customHeight="1" x14ac:dyDescent="0.3">
      <c r="A43" s="322" t="s">
        <v>408</v>
      </c>
      <c r="B43" s="322"/>
      <c r="C43" s="322"/>
      <c r="D43" s="322"/>
      <c r="E43" s="322"/>
      <c r="F43" s="322"/>
      <c r="G43" s="35">
        <v>35</v>
      </c>
      <c r="H43" s="40">
        <v>0</v>
      </c>
      <c r="I43" s="40">
        <v>0</v>
      </c>
      <c r="J43" s="40">
        <v>0</v>
      </c>
      <c r="K43" s="40">
        <v>0</v>
      </c>
      <c r="L43" s="40">
        <v>0</v>
      </c>
      <c r="M43" s="40">
        <v>0</v>
      </c>
      <c r="N43" s="40">
        <v>0</v>
      </c>
      <c r="O43" s="40">
        <v>0</v>
      </c>
      <c r="P43" s="36">
        <v>0</v>
      </c>
      <c r="Q43" s="40">
        <v>0</v>
      </c>
      <c r="R43" s="40">
        <v>0</v>
      </c>
      <c r="S43" s="36">
        <v>0</v>
      </c>
      <c r="T43" s="36">
        <v>0</v>
      </c>
      <c r="U43" s="36">
        <v>0</v>
      </c>
      <c r="V43" s="36">
        <v>0</v>
      </c>
      <c r="W43" s="37">
        <f t="shared" si="12"/>
        <v>0</v>
      </c>
      <c r="X43" s="36">
        <v>0</v>
      </c>
      <c r="Y43" s="37">
        <f t="shared" si="13"/>
        <v>0</v>
      </c>
    </row>
    <row r="44" spans="1:25" x14ac:dyDescent="0.3">
      <c r="A44" s="322" t="s">
        <v>409</v>
      </c>
      <c r="B44" s="322"/>
      <c r="C44" s="322"/>
      <c r="D44" s="322"/>
      <c r="E44" s="322"/>
      <c r="F44" s="322"/>
      <c r="G44" s="35">
        <v>36</v>
      </c>
      <c r="H44" s="40">
        <v>0</v>
      </c>
      <c r="I44" s="40">
        <v>0</v>
      </c>
      <c r="J44" s="40">
        <v>0</v>
      </c>
      <c r="K44" s="40">
        <v>0</v>
      </c>
      <c r="L44" s="40">
        <v>0</v>
      </c>
      <c r="M44" s="40">
        <v>0</v>
      </c>
      <c r="N44" s="40">
        <v>0</v>
      </c>
      <c r="O44" s="40">
        <v>0</v>
      </c>
      <c r="P44" s="40">
        <v>0</v>
      </c>
      <c r="Q44" s="36">
        <v>0</v>
      </c>
      <c r="R44" s="40">
        <v>0</v>
      </c>
      <c r="S44" s="36">
        <v>0</v>
      </c>
      <c r="T44" s="36">
        <v>0</v>
      </c>
      <c r="U44" s="36">
        <f>-165920+477197</f>
        <v>311277</v>
      </c>
      <c r="V44" s="36">
        <v>0</v>
      </c>
      <c r="W44" s="37">
        <f t="shared" si="12"/>
        <v>311277</v>
      </c>
      <c r="X44" s="36">
        <v>0</v>
      </c>
      <c r="Y44" s="37">
        <f t="shared" si="13"/>
        <v>311277</v>
      </c>
    </row>
    <row r="45" spans="1:25" ht="20.95" customHeight="1" x14ac:dyDescent="0.3">
      <c r="A45" s="322" t="s">
        <v>410</v>
      </c>
      <c r="B45" s="322"/>
      <c r="C45" s="322"/>
      <c r="D45" s="322"/>
      <c r="E45" s="322"/>
      <c r="F45" s="322"/>
      <c r="G45" s="35">
        <v>37</v>
      </c>
      <c r="H45" s="40">
        <v>0</v>
      </c>
      <c r="I45" s="40">
        <v>0</v>
      </c>
      <c r="J45" s="40">
        <v>0</v>
      </c>
      <c r="K45" s="40">
        <v>0</v>
      </c>
      <c r="L45" s="40">
        <v>0</v>
      </c>
      <c r="M45" s="40">
        <v>0</v>
      </c>
      <c r="N45" s="40">
        <v>0</v>
      </c>
      <c r="O45" s="40">
        <v>0</v>
      </c>
      <c r="P45" s="40">
        <v>0</v>
      </c>
      <c r="Q45" s="40">
        <v>0</v>
      </c>
      <c r="R45" s="36">
        <v>0</v>
      </c>
      <c r="S45" s="36">
        <v>0</v>
      </c>
      <c r="T45" s="36">
        <v>0</v>
      </c>
      <c r="U45" s="36">
        <v>0</v>
      </c>
      <c r="V45" s="36">
        <v>0</v>
      </c>
      <c r="W45" s="37">
        <f t="shared" si="12"/>
        <v>0</v>
      </c>
      <c r="X45" s="36">
        <v>0</v>
      </c>
      <c r="Y45" s="37">
        <f t="shared" si="13"/>
        <v>0</v>
      </c>
    </row>
    <row r="46" spans="1:25" x14ac:dyDescent="0.3">
      <c r="A46" s="322" t="s">
        <v>411</v>
      </c>
      <c r="B46" s="322"/>
      <c r="C46" s="322"/>
      <c r="D46" s="322"/>
      <c r="E46" s="322"/>
      <c r="F46" s="322"/>
      <c r="G46" s="35">
        <v>38</v>
      </c>
      <c r="H46" s="40">
        <v>0</v>
      </c>
      <c r="I46" s="40">
        <v>0</v>
      </c>
      <c r="J46" s="40">
        <v>0</v>
      </c>
      <c r="K46" s="40">
        <v>0</v>
      </c>
      <c r="L46" s="40">
        <v>0</v>
      </c>
      <c r="M46" s="40">
        <v>0</v>
      </c>
      <c r="N46" s="36">
        <v>0</v>
      </c>
      <c r="O46" s="36">
        <v>0</v>
      </c>
      <c r="P46" s="36">
        <v>0</v>
      </c>
      <c r="Q46" s="36">
        <v>0</v>
      </c>
      <c r="R46" s="36">
        <v>0</v>
      </c>
      <c r="S46" s="36">
        <v>0</v>
      </c>
      <c r="T46" s="36">
        <v>0</v>
      </c>
      <c r="U46" s="36">
        <v>0</v>
      </c>
      <c r="V46" s="36">
        <v>0</v>
      </c>
      <c r="W46" s="37">
        <f t="shared" si="12"/>
        <v>0</v>
      </c>
      <c r="X46" s="36">
        <v>0</v>
      </c>
      <c r="Y46" s="37">
        <f t="shared" si="13"/>
        <v>0</v>
      </c>
    </row>
    <row r="47" spans="1:25" x14ac:dyDescent="0.3">
      <c r="A47" s="322" t="s">
        <v>432</v>
      </c>
      <c r="B47" s="322"/>
      <c r="C47" s="322"/>
      <c r="D47" s="322"/>
      <c r="E47" s="322"/>
      <c r="F47" s="322"/>
      <c r="G47" s="35">
        <v>39</v>
      </c>
      <c r="H47" s="40">
        <v>0</v>
      </c>
      <c r="I47" s="40">
        <v>0</v>
      </c>
      <c r="J47" s="40">
        <v>0</v>
      </c>
      <c r="K47" s="40">
        <v>0</v>
      </c>
      <c r="L47" s="40">
        <v>0</v>
      </c>
      <c r="M47" s="40">
        <v>0</v>
      </c>
      <c r="N47" s="36">
        <v>0</v>
      </c>
      <c r="O47" s="36">
        <v>0</v>
      </c>
      <c r="P47" s="36">
        <v>0</v>
      </c>
      <c r="Q47" s="36">
        <v>0</v>
      </c>
      <c r="R47" s="36">
        <v>0</v>
      </c>
      <c r="S47" s="36">
        <v>0</v>
      </c>
      <c r="T47" s="36">
        <v>0</v>
      </c>
      <c r="U47" s="36">
        <v>0</v>
      </c>
      <c r="V47" s="36">
        <v>0</v>
      </c>
      <c r="W47" s="37">
        <f t="shared" si="12"/>
        <v>0</v>
      </c>
      <c r="X47" s="36">
        <v>0</v>
      </c>
      <c r="Y47" s="37">
        <f t="shared" si="13"/>
        <v>0</v>
      </c>
    </row>
    <row r="48" spans="1:25" x14ac:dyDescent="0.3">
      <c r="A48" s="322" t="s">
        <v>413</v>
      </c>
      <c r="B48" s="322"/>
      <c r="C48" s="322"/>
      <c r="D48" s="322"/>
      <c r="E48" s="322"/>
      <c r="F48" s="322"/>
      <c r="G48" s="35">
        <v>40</v>
      </c>
      <c r="H48" s="36">
        <v>0</v>
      </c>
      <c r="I48" s="36">
        <v>13957</v>
      </c>
      <c r="J48" s="36">
        <v>0</v>
      </c>
      <c r="K48" s="36">
        <v>0</v>
      </c>
      <c r="L48" s="36">
        <v>0</v>
      </c>
      <c r="M48" s="36">
        <v>0</v>
      </c>
      <c r="N48" s="36">
        <v>0</v>
      </c>
      <c r="O48" s="36">
        <v>0</v>
      </c>
      <c r="P48" s="36">
        <v>0</v>
      </c>
      <c r="Q48" s="36">
        <v>0</v>
      </c>
      <c r="R48" s="36">
        <v>0</v>
      </c>
      <c r="S48" s="36">
        <v>0</v>
      </c>
      <c r="T48" s="36">
        <v>0</v>
      </c>
      <c r="U48" s="36">
        <v>0</v>
      </c>
      <c r="V48" s="36">
        <v>0</v>
      </c>
      <c r="W48" s="37">
        <f t="shared" si="12"/>
        <v>13957</v>
      </c>
      <c r="X48" s="36">
        <v>0</v>
      </c>
      <c r="Y48" s="37">
        <f t="shared" si="13"/>
        <v>13957</v>
      </c>
    </row>
    <row r="49" spans="1:25" x14ac:dyDescent="0.3">
      <c r="A49" s="322" t="s">
        <v>433</v>
      </c>
      <c r="B49" s="322"/>
      <c r="C49" s="322"/>
      <c r="D49" s="322"/>
      <c r="E49" s="322"/>
      <c r="F49" s="322"/>
      <c r="G49" s="35">
        <v>41</v>
      </c>
      <c r="H49" s="40">
        <v>0</v>
      </c>
      <c r="I49" s="40">
        <v>0</v>
      </c>
      <c r="J49" s="40">
        <v>0</v>
      </c>
      <c r="K49" s="40">
        <v>0</v>
      </c>
      <c r="L49" s="40">
        <v>0</v>
      </c>
      <c r="M49" s="40">
        <v>0</v>
      </c>
      <c r="N49" s="36">
        <v>0</v>
      </c>
      <c r="O49" s="36">
        <v>0</v>
      </c>
      <c r="P49" s="36">
        <v>0</v>
      </c>
      <c r="Q49" s="36">
        <v>0</v>
      </c>
      <c r="R49" s="36">
        <v>0</v>
      </c>
      <c r="S49" s="36">
        <v>0</v>
      </c>
      <c r="T49" s="36">
        <v>0</v>
      </c>
      <c r="U49" s="36">
        <v>0</v>
      </c>
      <c r="V49" s="36">
        <v>0</v>
      </c>
      <c r="W49" s="37">
        <f t="shared" si="12"/>
        <v>0</v>
      </c>
      <c r="X49" s="36">
        <v>0</v>
      </c>
      <c r="Y49" s="37">
        <f t="shared" si="13"/>
        <v>0</v>
      </c>
    </row>
    <row r="50" spans="1:25" ht="19.75" customHeight="1" x14ac:dyDescent="0.3">
      <c r="A50" s="322" t="s">
        <v>434</v>
      </c>
      <c r="B50" s="322"/>
      <c r="C50" s="322"/>
      <c r="D50" s="322"/>
      <c r="E50" s="322"/>
      <c r="F50" s="322"/>
      <c r="G50" s="35">
        <v>42</v>
      </c>
      <c r="H50" s="36">
        <v>0</v>
      </c>
      <c r="I50" s="36">
        <v>0</v>
      </c>
      <c r="J50" s="36">
        <v>0</v>
      </c>
      <c r="K50" s="36">
        <v>0</v>
      </c>
      <c r="L50" s="36">
        <v>0</v>
      </c>
      <c r="M50" s="36">
        <v>0</v>
      </c>
      <c r="N50" s="36">
        <v>0</v>
      </c>
      <c r="O50" s="36">
        <v>0</v>
      </c>
      <c r="P50" s="36">
        <v>0</v>
      </c>
      <c r="Q50" s="36">
        <v>0</v>
      </c>
      <c r="R50" s="36">
        <v>0</v>
      </c>
      <c r="S50" s="36">
        <v>0</v>
      </c>
      <c r="T50" s="36">
        <v>0</v>
      </c>
      <c r="U50" s="36">
        <v>0</v>
      </c>
      <c r="V50" s="36">
        <v>0</v>
      </c>
      <c r="W50" s="37">
        <f t="shared" si="12"/>
        <v>0</v>
      </c>
      <c r="X50" s="36">
        <v>0</v>
      </c>
      <c r="Y50" s="37">
        <f t="shared" si="13"/>
        <v>0</v>
      </c>
    </row>
    <row r="51" spans="1:25" ht="19.75" customHeight="1" x14ac:dyDescent="0.3">
      <c r="A51" s="322" t="s">
        <v>416</v>
      </c>
      <c r="B51" s="322"/>
      <c r="C51" s="322"/>
      <c r="D51" s="322"/>
      <c r="E51" s="322"/>
      <c r="F51" s="322"/>
      <c r="G51" s="35">
        <v>43</v>
      </c>
      <c r="H51" s="36">
        <v>0</v>
      </c>
      <c r="I51" s="36">
        <v>0</v>
      </c>
      <c r="J51" s="36">
        <v>0</v>
      </c>
      <c r="K51" s="36">
        <v>0</v>
      </c>
      <c r="L51" s="36">
        <v>0</v>
      </c>
      <c r="M51" s="36">
        <v>0</v>
      </c>
      <c r="N51" s="36">
        <v>0</v>
      </c>
      <c r="O51" s="36">
        <v>0</v>
      </c>
      <c r="P51" s="36">
        <v>0</v>
      </c>
      <c r="Q51" s="36">
        <v>0</v>
      </c>
      <c r="R51" s="36">
        <v>0</v>
      </c>
      <c r="S51" s="36">
        <v>0</v>
      </c>
      <c r="T51" s="36">
        <v>0</v>
      </c>
      <c r="U51" s="36">
        <v>0</v>
      </c>
      <c r="V51" s="36">
        <v>0</v>
      </c>
      <c r="W51" s="37">
        <f t="shared" si="12"/>
        <v>0</v>
      </c>
      <c r="X51" s="36">
        <v>0</v>
      </c>
      <c r="Y51" s="37">
        <f t="shared" si="13"/>
        <v>0</v>
      </c>
    </row>
    <row r="52" spans="1:25" ht="19.75" customHeight="1" x14ac:dyDescent="0.3">
      <c r="A52" s="322" t="s">
        <v>435</v>
      </c>
      <c r="B52" s="322"/>
      <c r="C52" s="322"/>
      <c r="D52" s="322"/>
      <c r="E52" s="322"/>
      <c r="F52" s="322"/>
      <c r="G52" s="35">
        <v>44</v>
      </c>
      <c r="H52" s="36">
        <v>0</v>
      </c>
      <c r="I52" s="36">
        <v>0</v>
      </c>
      <c r="J52" s="36">
        <v>0</v>
      </c>
      <c r="K52" s="36">
        <v>0</v>
      </c>
      <c r="L52" s="36">
        <v>0</v>
      </c>
      <c r="M52" s="36">
        <v>0</v>
      </c>
      <c r="N52" s="36">
        <v>0</v>
      </c>
      <c r="O52" s="36">
        <v>0</v>
      </c>
      <c r="P52" s="36">
        <v>0</v>
      </c>
      <c r="Q52" s="36">
        <v>0</v>
      </c>
      <c r="R52" s="36">
        <v>0</v>
      </c>
      <c r="S52" s="36">
        <v>0</v>
      </c>
      <c r="T52" s="36">
        <v>0</v>
      </c>
      <c r="U52" s="36">
        <v>0</v>
      </c>
      <c r="V52" s="36">
        <v>0</v>
      </c>
      <c r="W52" s="37">
        <f t="shared" si="12"/>
        <v>0</v>
      </c>
      <c r="X52" s="36">
        <v>0</v>
      </c>
      <c r="Y52" s="37">
        <f t="shared" si="13"/>
        <v>0</v>
      </c>
    </row>
    <row r="53" spans="1:25" x14ac:dyDescent="0.3">
      <c r="A53" s="322" t="s">
        <v>436</v>
      </c>
      <c r="B53" s="322"/>
      <c r="C53" s="322"/>
      <c r="D53" s="322"/>
      <c r="E53" s="322"/>
      <c r="F53" s="322"/>
      <c r="G53" s="35">
        <v>45</v>
      </c>
      <c r="H53" s="36">
        <v>0</v>
      </c>
      <c r="I53" s="36">
        <v>0</v>
      </c>
      <c r="J53" s="36">
        <v>0</v>
      </c>
      <c r="K53" s="36">
        <v>262408</v>
      </c>
      <c r="L53" s="36">
        <v>262408</v>
      </c>
      <c r="M53" s="36">
        <v>0</v>
      </c>
      <c r="N53" s="36">
        <v>0</v>
      </c>
      <c r="O53" s="36">
        <v>0</v>
      </c>
      <c r="P53" s="36">
        <v>0</v>
      </c>
      <c r="Q53" s="36">
        <v>0</v>
      </c>
      <c r="R53" s="36">
        <v>0</v>
      </c>
      <c r="S53" s="36">
        <v>0</v>
      </c>
      <c r="T53" s="36">
        <v>0</v>
      </c>
      <c r="U53" s="36">
        <v>0</v>
      </c>
      <c r="V53" s="36">
        <v>0</v>
      </c>
      <c r="W53" s="37">
        <f t="shared" si="12"/>
        <v>0</v>
      </c>
      <c r="X53" s="36">
        <v>0</v>
      </c>
      <c r="Y53" s="37">
        <f t="shared" si="13"/>
        <v>0</v>
      </c>
    </row>
    <row r="54" spans="1:25" x14ac:dyDescent="0.3">
      <c r="A54" s="322" t="s">
        <v>419</v>
      </c>
      <c r="B54" s="322"/>
      <c r="C54" s="322"/>
      <c r="D54" s="322"/>
      <c r="E54" s="322"/>
      <c r="F54" s="322"/>
      <c r="G54" s="35">
        <v>46</v>
      </c>
      <c r="H54" s="36">
        <v>0</v>
      </c>
      <c r="I54" s="36">
        <v>0</v>
      </c>
      <c r="J54" s="36">
        <v>0</v>
      </c>
      <c r="K54" s="36">
        <v>0</v>
      </c>
      <c r="L54" s="36">
        <v>0</v>
      </c>
      <c r="M54" s="36">
        <v>0</v>
      </c>
      <c r="N54" s="36">
        <v>0</v>
      </c>
      <c r="O54" s="36">
        <v>0</v>
      </c>
      <c r="P54" s="36">
        <v>0</v>
      </c>
      <c r="Q54" s="36">
        <v>0</v>
      </c>
      <c r="R54" s="36">
        <v>0</v>
      </c>
      <c r="S54" s="36">
        <v>0</v>
      </c>
      <c r="T54" s="36">
        <v>0</v>
      </c>
      <c r="U54" s="36">
        <v>0</v>
      </c>
      <c r="V54" s="36">
        <v>0</v>
      </c>
      <c r="W54" s="37">
        <f t="shared" si="12"/>
        <v>0</v>
      </c>
      <c r="X54" s="36">
        <v>0</v>
      </c>
      <c r="Y54" s="37">
        <f t="shared" si="13"/>
        <v>0</v>
      </c>
    </row>
    <row r="55" spans="1:25" x14ac:dyDescent="0.3">
      <c r="A55" s="322" t="s">
        <v>420</v>
      </c>
      <c r="B55" s="322"/>
      <c r="C55" s="322"/>
      <c r="D55" s="322"/>
      <c r="E55" s="322"/>
      <c r="F55" s="322"/>
      <c r="G55" s="35">
        <v>47</v>
      </c>
      <c r="H55" s="36">
        <v>0</v>
      </c>
      <c r="I55" s="36">
        <v>0</v>
      </c>
      <c r="J55" s="36">
        <v>0</v>
      </c>
      <c r="K55" s="36">
        <v>0</v>
      </c>
      <c r="L55" s="36">
        <v>0</v>
      </c>
      <c r="M55" s="36">
        <v>0</v>
      </c>
      <c r="N55" s="36">
        <v>0</v>
      </c>
      <c r="O55" s="36">
        <v>0</v>
      </c>
      <c r="P55" s="36">
        <v>0</v>
      </c>
      <c r="Q55" s="36">
        <v>0</v>
      </c>
      <c r="R55" s="36">
        <v>0</v>
      </c>
      <c r="S55" s="36">
        <v>0</v>
      </c>
      <c r="T55" s="36">
        <v>0</v>
      </c>
      <c r="U55" s="36">
        <v>-10620627</v>
      </c>
      <c r="V55" s="36">
        <v>0</v>
      </c>
      <c r="W55" s="37">
        <f t="shared" si="12"/>
        <v>-10620627</v>
      </c>
      <c r="X55" s="36">
        <v>0</v>
      </c>
      <c r="Y55" s="37">
        <f t="shared" si="13"/>
        <v>-10620627</v>
      </c>
    </row>
    <row r="56" spans="1:25" x14ac:dyDescent="0.3">
      <c r="A56" s="322" t="s">
        <v>421</v>
      </c>
      <c r="B56" s="322"/>
      <c r="C56" s="322"/>
      <c r="D56" s="322"/>
      <c r="E56" s="322"/>
      <c r="F56" s="322"/>
      <c r="G56" s="35">
        <v>48</v>
      </c>
      <c r="H56" s="36">
        <v>3700000</v>
      </c>
      <c r="I56" s="36">
        <v>0</v>
      </c>
      <c r="J56" s="36">
        <v>0</v>
      </c>
      <c r="K56" s="36">
        <v>0</v>
      </c>
      <c r="L56" s="36">
        <v>0</v>
      </c>
      <c r="M56" s="36">
        <v>0</v>
      </c>
      <c r="N56" s="36">
        <v>0</v>
      </c>
      <c r="O56" s="36">
        <v>0</v>
      </c>
      <c r="P56" s="36">
        <v>0</v>
      </c>
      <c r="Q56" s="36">
        <v>0</v>
      </c>
      <c r="R56" s="36">
        <v>0</v>
      </c>
      <c r="S56" s="36">
        <v>0</v>
      </c>
      <c r="T56" s="36">
        <v>0</v>
      </c>
      <c r="U56" s="36">
        <v>0</v>
      </c>
      <c r="V56" s="36">
        <v>0</v>
      </c>
      <c r="W56" s="37">
        <f t="shared" si="12"/>
        <v>3700000</v>
      </c>
      <c r="X56" s="36">
        <v>0</v>
      </c>
      <c r="Y56" s="37">
        <f t="shared" si="13"/>
        <v>3700000</v>
      </c>
    </row>
    <row r="57" spans="1:25" x14ac:dyDescent="0.3">
      <c r="A57" s="322" t="s">
        <v>437</v>
      </c>
      <c r="B57" s="322"/>
      <c r="C57" s="322"/>
      <c r="D57" s="322"/>
      <c r="E57" s="322"/>
      <c r="F57" s="322"/>
      <c r="G57" s="35">
        <v>49</v>
      </c>
      <c r="H57" s="36">
        <v>0</v>
      </c>
      <c r="I57" s="36">
        <v>0</v>
      </c>
      <c r="J57" s="36">
        <v>0</v>
      </c>
      <c r="K57" s="36">
        <v>0</v>
      </c>
      <c r="L57" s="36">
        <v>0</v>
      </c>
      <c r="M57" s="36">
        <v>0</v>
      </c>
      <c r="N57" s="36">
        <v>0</v>
      </c>
      <c r="O57" s="36">
        <v>0</v>
      </c>
      <c r="P57" s="36">
        <v>0</v>
      </c>
      <c r="Q57" s="36">
        <v>0</v>
      </c>
      <c r="R57" s="36">
        <v>0</v>
      </c>
      <c r="S57" s="36">
        <v>0</v>
      </c>
      <c r="T57" s="36">
        <v>0</v>
      </c>
      <c r="U57" s="36">
        <v>0</v>
      </c>
      <c r="V57" s="36">
        <v>0</v>
      </c>
      <c r="W57" s="37">
        <f t="shared" si="12"/>
        <v>0</v>
      </c>
      <c r="X57" s="36">
        <v>0</v>
      </c>
      <c r="Y57" s="37">
        <f t="shared" si="13"/>
        <v>0</v>
      </c>
    </row>
    <row r="58" spans="1:25" x14ac:dyDescent="0.3">
      <c r="A58" s="322" t="s">
        <v>423</v>
      </c>
      <c r="B58" s="322"/>
      <c r="C58" s="322"/>
      <c r="D58" s="322"/>
      <c r="E58" s="322"/>
      <c r="F58" s="322"/>
      <c r="G58" s="35">
        <v>50</v>
      </c>
      <c r="H58" s="36">
        <v>0</v>
      </c>
      <c r="I58" s="36">
        <v>0</v>
      </c>
      <c r="J58" s="36">
        <v>0</v>
      </c>
      <c r="K58" s="36">
        <v>0</v>
      </c>
      <c r="L58" s="36">
        <v>0</v>
      </c>
      <c r="M58" s="36">
        <v>0</v>
      </c>
      <c r="N58" s="36">
        <v>0</v>
      </c>
      <c r="O58" s="36">
        <v>0</v>
      </c>
      <c r="P58" s="36">
        <v>0</v>
      </c>
      <c r="Q58" s="36">
        <v>0</v>
      </c>
      <c r="R58" s="36">
        <v>0</v>
      </c>
      <c r="S58" s="36">
        <v>0</v>
      </c>
      <c r="T58" s="36">
        <v>0</v>
      </c>
      <c r="U58" s="36">
        <v>0</v>
      </c>
      <c r="V58" s="36">
        <v>0</v>
      </c>
      <c r="W58" s="37">
        <f t="shared" si="12"/>
        <v>0</v>
      </c>
      <c r="X58" s="36">
        <v>0</v>
      </c>
      <c r="Y58" s="37">
        <f t="shared" si="13"/>
        <v>0</v>
      </c>
    </row>
    <row r="59" spans="1:25" ht="25.25" customHeight="1" x14ac:dyDescent="0.3">
      <c r="A59" s="333" t="s">
        <v>438</v>
      </c>
      <c r="B59" s="333"/>
      <c r="C59" s="333"/>
      <c r="D59" s="333"/>
      <c r="E59" s="333"/>
      <c r="F59" s="333"/>
      <c r="G59" s="41">
        <v>51</v>
      </c>
      <c r="H59" s="42">
        <f>SUM(H39:H58)</f>
        <v>110430270</v>
      </c>
      <c r="I59" s="42">
        <f t="shared" ref="I59:Y59" si="14">SUM(I39:I58)</f>
        <v>89618278</v>
      </c>
      <c r="J59" s="42">
        <f t="shared" si="14"/>
        <v>571419</v>
      </c>
      <c r="K59" s="42">
        <f t="shared" si="14"/>
        <v>1453058</v>
      </c>
      <c r="L59" s="42">
        <f t="shared" si="14"/>
        <v>1453058</v>
      </c>
      <c r="M59" s="42">
        <f t="shared" si="14"/>
        <v>0</v>
      </c>
      <c r="N59" s="42">
        <f t="shared" si="14"/>
        <v>0</v>
      </c>
      <c r="O59" s="42">
        <f t="shared" si="14"/>
        <v>-19052546</v>
      </c>
      <c r="P59" s="42">
        <f t="shared" si="14"/>
        <v>0</v>
      </c>
      <c r="Q59" s="42">
        <f t="shared" si="14"/>
        <v>0</v>
      </c>
      <c r="R59" s="42">
        <f t="shared" si="14"/>
        <v>0</v>
      </c>
      <c r="S59" s="42">
        <f t="shared" si="14"/>
        <v>0</v>
      </c>
      <c r="T59" s="42">
        <f t="shared" si="14"/>
        <v>0</v>
      </c>
      <c r="U59" s="42">
        <f t="shared" si="14"/>
        <v>15239316</v>
      </c>
      <c r="V59" s="42">
        <f t="shared" si="14"/>
        <v>24437550</v>
      </c>
      <c r="W59" s="42">
        <f t="shared" si="14"/>
        <v>221244287</v>
      </c>
      <c r="X59" s="42">
        <f t="shared" si="14"/>
        <v>0</v>
      </c>
      <c r="Y59" s="42">
        <f t="shared" si="14"/>
        <v>221244287</v>
      </c>
    </row>
    <row r="60" spans="1:25" x14ac:dyDescent="0.3">
      <c r="A60" s="334" t="s">
        <v>425</v>
      </c>
      <c r="B60" s="335"/>
      <c r="C60" s="335"/>
      <c r="D60" s="335"/>
      <c r="E60" s="335"/>
      <c r="F60" s="335"/>
      <c r="G60" s="335"/>
      <c r="H60" s="335"/>
      <c r="I60" s="335"/>
      <c r="J60" s="335"/>
      <c r="K60" s="335"/>
      <c r="L60" s="335"/>
      <c r="M60" s="335"/>
      <c r="N60" s="335"/>
      <c r="O60" s="335"/>
      <c r="P60" s="335"/>
      <c r="Q60" s="335"/>
      <c r="R60" s="335"/>
      <c r="S60" s="335"/>
      <c r="T60" s="335"/>
      <c r="U60" s="335"/>
      <c r="V60" s="335"/>
      <c r="W60" s="335"/>
      <c r="X60" s="335"/>
      <c r="Y60" s="335"/>
    </row>
    <row r="61" spans="1:25" ht="22.2" customHeight="1" x14ac:dyDescent="0.3">
      <c r="A61" s="337" t="s">
        <v>439</v>
      </c>
      <c r="B61" s="337"/>
      <c r="C61" s="337"/>
      <c r="D61" s="337"/>
      <c r="E61" s="337"/>
      <c r="F61" s="337"/>
      <c r="G61" s="38">
        <v>52</v>
      </c>
      <c r="H61" s="37">
        <f>SUM(H41:H49)</f>
        <v>0</v>
      </c>
      <c r="I61" s="37">
        <f t="shared" ref="I61:Y61" si="15">SUM(I41:I49)</f>
        <v>13957</v>
      </c>
      <c r="J61" s="37">
        <f t="shared" si="15"/>
        <v>0</v>
      </c>
      <c r="K61" s="37">
        <f t="shared" si="15"/>
        <v>0</v>
      </c>
      <c r="L61" s="37">
        <f t="shared" si="15"/>
        <v>0</v>
      </c>
      <c r="M61" s="37">
        <f t="shared" si="15"/>
        <v>0</v>
      </c>
      <c r="N61" s="37">
        <f t="shared" si="15"/>
        <v>0</v>
      </c>
      <c r="O61" s="37">
        <f t="shared" si="15"/>
        <v>-6517850</v>
      </c>
      <c r="P61" s="37">
        <f t="shared" si="15"/>
        <v>0</v>
      </c>
      <c r="Q61" s="37">
        <f t="shared" si="15"/>
        <v>0</v>
      </c>
      <c r="R61" s="37">
        <f t="shared" si="15"/>
        <v>0</v>
      </c>
      <c r="S61" s="37">
        <f t="shared" si="15"/>
        <v>0</v>
      </c>
      <c r="T61" s="37">
        <f t="shared" si="15"/>
        <v>0</v>
      </c>
      <c r="U61" s="37">
        <f t="shared" si="15"/>
        <v>311277</v>
      </c>
      <c r="V61" s="37">
        <f t="shared" si="15"/>
        <v>0</v>
      </c>
      <c r="W61" s="37">
        <f t="shared" si="15"/>
        <v>-6192616</v>
      </c>
      <c r="X61" s="37">
        <f t="shared" si="15"/>
        <v>0</v>
      </c>
      <c r="Y61" s="37">
        <f t="shared" si="15"/>
        <v>-6192616</v>
      </c>
    </row>
    <row r="62" spans="1:25" ht="22.2" customHeight="1" x14ac:dyDescent="0.3">
      <c r="A62" s="337" t="s">
        <v>440</v>
      </c>
      <c r="B62" s="337"/>
      <c r="C62" s="337"/>
      <c r="D62" s="337"/>
      <c r="E62" s="337"/>
      <c r="F62" s="337"/>
      <c r="G62" s="38">
        <v>53</v>
      </c>
      <c r="H62" s="37">
        <f>H40+H61</f>
        <v>0</v>
      </c>
      <c r="I62" s="37">
        <f t="shared" ref="I62:Y62" si="16">I40+I61</f>
        <v>13957</v>
      </c>
      <c r="J62" s="37">
        <f t="shared" si="16"/>
        <v>0</v>
      </c>
      <c r="K62" s="37">
        <f t="shared" si="16"/>
        <v>0</v>
      </c>
      <c r="L62" s="37">
        <f t="shared" si="16"/>
        <v>0</v>
      </c>
      <c r="M62" s="37">
        <f t="shared" si="16"/>
        <v>0</v>
      </c>
      <c r="N62" s="37">
        <f t="shared" si="16"/>
        <v>0</v>
      </c>
      <c r="O62" s="37">
        <f t="shared" si="16"/>
        <v>-6517850</v>
      </c>
      <c r="P62" s="37">
        <f t="shared" si="16"/>
        <v>0</v>
      </c>
      <c r="Q62" s="37">
        <f t="shared" si="16"/>
        <v>0</v>
      </c>
      <c r="R62" s="37">
        <f t="shared" si="16"/>
        <v>0</v>
      </c>
      <c r="S62" s="37">
        <f t="shared" si="16"/>
        <v>0</v>
      </c>
      <c r="T62" s="37">
        <f t="shared" si="16"/>
        <v>0</v>
      </c>
      <c r="U62" s="37">
        <f t="shared" si="16"/>
        <v>311277</v>
      </c>
      <c r="V62" s="37">
        <f t="shared" si="16"/>
        <v>24437550</v>
      </c>
      <c r="W62" s="37">
        <f t="shared" si="16"/>
        <v>18244934</v>
      </c>
      <c r="X62" s="37">
        <f t="shared" si="16"/>
        <v>0</v>
      </c>
      <c r="Y62" s="37">
        <f t="shared" si="16"/>
        <v>18244934</v>
      </c>
    </row>
    <row r="63" spans="1:25" ht="22.2" customHeight="1" x14ac:dyDescent="0.3">
      <c r="A63" s="339" t="s">
        <v>441</v>
      </c>
      <c r="B63" s="339"/>
      <c r="C63" s="339"/>
      <c r="D63" s="339"/>
      <c r="E63" s="339"/>
      <c r="F63" s="339"/>
      <c r="G63" s="41">
        <v>54</v>
      </c>
      <c r="H63" s="360">
        <f>SUM(H50:H58)</f>
        <v>3700000</v>
      </c>
      <c r="I63" s="360">
        <f t="shared" ref="I63:Y63" si="17">SUM(I50:I58)</f>
        <v>0</v>
      </c>
      <c r="J63" s="360">
        <f t="shared" si="17"/>
        <v>0</v>
      </c>
      <c r="K63" s="360">
        <f t="shared" si="17"/>
        <v>262408</v>
      </c>
      <c r="L63" s="360">
        <f t="shared" si="17"/>
        <v>262408</v>
      </c>
      <c r="M63" s="360">
        <f t="shared" si="17"/>
        <v>0</v>
      </c>
      <c r="N63" s="360">
        <f t="shared" si="17"/>
        <v>0</v>
      </c>
      <c r="O63" s="360">
        <f t="shared" si="17"/>
        <v>0</v>
      </c>
      <c r="P63" s="360">
        <f t="shared" si="17"/>
        <v>0</v>
      </c>
      <c r="Q63" s="360">
        <f t="shared" si="17"/>
        <v>0</v>
      </c>
      <c r="R63" s="360">
        <f t="shared" si="17"/>
        <v>0</v>
      </c>
      <c r="S63" s="360">
        <f t="shared" si="17"/>
        <v>0</v>
      </c>
      <c r="T63" s="360">
        <f t="shared" si="17"/>
        <v>0</v>
      </c>
      <c r="U63" s="360">
        <f t="shared" si="17"/>
        <v>-10620627</v>
      </c>
      <c r="V63" s="360">
        <f t="shared" si="17"/>
        <v>0</v>
      </c>
      <c r="W63" s="360">
        <f t="shared" si="17"/>
        <v>-6920627</v>
      </c>
      <c r="X63" s="360">
        <f t="shared" si="17"/>
        <v>0</v>
      </c>
      <c r="Y63" s="360">
        <f t="shared" si="17"/>
        <v>-6920627</v>
      </c>
    </row>
  </sheetData>
  <protectedRanges>
    <protectedRange sqref="E2" name="Range1_1"/>
    <protectedRange sqref="G2" name="Range1"/>
  </protectedRanges>
  <mergeCells count="66">
    <mergeCell ref="A63:F63"/>
    <mergeCell ref="A52:F52"/>
    <mergeCell ref="A53:F53"/>
    <mergeCell ref="A54:F54"/>
    <mergeCell ref="A55:F55"/>
    <mergeCell ref="A56:F56"/>
    <mergeCell ref="A57:F57"/>
    <mergeCell ref="A58:F58"/>
    <mergeCell ref="A59:F59"/>
    <mergeCell ref="A60:Y60"/>
    <mergeCell ref="A61:F61"/>
    <mergeCell ref="A62:F62"/>
    <mergeCell ref="A51:F51"/>
    <mergeCell ref="A40:F40"/>
    <mergeCell ref="A41:F41"/>
    <mergeCell ref="A42:F42"/>
    <mergeCell ref="A43:F43"/>
    <mergeCell ref="A44:F44"/>
    <mergeCell ref="A45:F45"/>
    <mergeCell ref="A46:F46"/>
    <mergeCell ref="A47:F47"/>
    <mergeCell ref="A48:F48"/>
    <mergeCell ref="A49:F49"/>
    <mergeCell ref="A50:F50"/>
    <mergeCell ref="A39:F39"/>
    <mergeCell ref="A28:F28"/>
    <mergeCell ref="A29:F29"/>
    <mergeCell ref="A30:F30"/>
    <mergeCell ref="A31:Y31"/>
    <mergeCell ref="A32:F32"/>
    <mergeCell ref="A33:F33"/>
    <mergeCell ref="A34:F34"/>
    <mergeCell ref="A35:Y35"/>
    <mergeCell ref="A36:F36"/>
    <mergeCell ref="A37:F37"/>
    <mergeCell ref="A38:F38"/>
    <mergeCell ref="A27:F27"/>
    <mergeCell ref="A16:F16"/>
    <mergeCell ref="A17:F17"/>
    <mergeCell ref="A18:F18"/>
    <mergeCell ref="A19:F19"/>
    <mergeCell ref="A20:F20"/>
    <mergeCell ref="A21:F21"/>
    <mergeCell ref="A22:F22"/>
    <mergeCell ref="A23:F23"/>
    <mergeCell ref="A24:F24"/>
    <mergeCell ref="A25:F25"/>
    <mergeCell ref="A26:F26"/>
    <mergeCell ref="A15:F15"/>
    <mergeCell ref="Y3:Y4"/>
    <mergeCell ref="A5:F5"/>
    <mergeCell ref="A6:Y6"/>
    <mergeCell ref="A7:F7"/>
    <mergeCell ref="A8:F8"/>
    <mergeCell ref="A9:F9"/>
    <mergeCell ref="X3:X4"/>
    <mergeCell ref="A10:F10"/>
    <mergeCell ref="A11:F11"/>
    <mergeCell ref="A12:F12"/>
    <mergeCell ref="A13:F13"/>
    <mergeCell ref="A14:F14"/>
    <mergeCell ref="A1:J1"/>
    <mergeCell ref="C2:D2"/>
    <mergeCell ref="A3:F4"/>
    <mergeCell ref="G3:G4"/>
    <mergeCell ref="H3:W3"/>
  </mergeCells>
  <dataValidations count="3">
    <dataValidation type="whole" operator="greaterThanOrEqual" allowBlank="1" showInputMessage="1" showErrorMessage="1" errorTitle="Incorrect entry" error="You can enter only positive whole numbers." sqref="P6:X6" xr:uid="{00000000-0002-0000-0500-000001000000}">
      <formula1>0</formula1>
    </dataValidation>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G2" xr:uid="{00000000-0002-0000-0500-000002000000}">
      <formula1>39448</formula1>
    </dataValidation>
    <dataValidation type="whole" operator="notEqual" allowBlank="1" showInputMessage="1" showErrorMessage="1" errorTitle="Nedopušten upis" error="Dopušten je upis samo cjelobrojnih zaokruženih vrijednosti (pozitivnih ili negativnih) te nule." sqref="H7:Y30 H32:Y34 H36:Y59 H61:Y63" xr:uid="{0576925E-4811-472D-AAB3-7B5D62F69094}">
      <formula1>9999999999</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5"/>
  <sheetViews>
    <sheetView zoomScale="80" zoomScaleNormal="80" workbookViewId="0">
      <selection sqref="A1:A45"/>
    </sheetView>
  </sheetViews>
  <sheetFormatPr defaultRowHeight="14" x14ac:dyDescent="0.3"/>
  <cols>
    <col min="1" max="1" width="149" customWidth="1"/>
  </cols>
  <sheetData>
    <row r="1" spans="1:1" ht="409.6" customHeight="1" x14ac:dyDescent="0.3">
      <c r="A1" s="341" t="s">
        <v>483</v>
      </c>
    </row>
    <row r="2" spans="1:1" x14ac:dyDescent="0.3">
      <c r="A2" s="341"/>
    </row>
    <row r="3" spans="1:1" x14ac:dyDescent="0.3">
      <c r="A3" s="341"/>
    </row>
    <row r="4" spans="1:1" x14ac:dyDescent="0.3">
      <c r="A4" s="341"/>
    </row>
    <row r="5" spans="1:1" x14ac:dyDescent="0.3">
      <c r="A5" s="341"/>
    </row>
    <row r="6" spans="1:1" x14ac:dyDescent="0.3">
      <c r="A6" s="341"/>
    </row>
    <row r="7" spans="1:1" x14ac:dyDescent="0.3">
      <c r="A7" s="341"/>
    </row>
    <row r="8" spans="1:1" x14ac:dyDescent="0.3">
      <c r="A8" s="341"/>
    </row>
    <row r="9" spans="1:1" x14ac:dyDescent="0.3">
      <c r="A9" s="341"/>
    </row>
    <row r="10" spans="1:1" x14ac:dyDescent="0.3">
      <c r="A10" s="341"/>
    </row>
    <row r="11" spans="1:1" x14ac:dyDescent="0.3">
      <c r="A11" s="341"/>
    </row>
    <row r="12" spans="1:1" x14ac:dyDescent="0.3">
      <c r="A12" s="341"/>
    </row>
    <row r="13" spans="1:1" x14ac:dyDescent="0.3">
      <c r="A13" s="341"/>
    </row>
    <row r="14" spans="1:1" x14ac:dyDescent="0.3">
      <c r="A14" s="341"/>
    </row>
    <row r="15" spans="1:1" x14ac:dyDescent="0.3">
      <c r="A15" s="341"/>
    </row>
    <row r="16" spans="1:1" x14ac:dyDescent="0.3">
      <c r="A16" s="341"/>
    </row>
    <row r="17" spans="1:1" x14ac:dyDescent="0.3">
      <c r="A17" s="341"/>
    </row>
    <row r="18" spans="1:1" x14ac:dyDescent="0.3">
      <c r="A18" s="341"/>
    </row>
    <row r="19" spans="1:1" x14ac:dyDescent="0.3">
      <c r="A19" s="341"/>
    </row>
    <row r="20" spans="1:1" x14ac:dyDescent="0.3">
      <c r="A20" s="341"/>
    </row>
    <row r="21" spans="1:1" x14ac:dyDescent="0.3">
      <c r="A21" s="341"/>
    </row>
    <row r="22" spans="1:1" x14ac:dyDescent="0.3">
      <c r="A22" s="341"/>
    </row>
    <row r="23" spans="1:1" x14ac:dyDescent="0.3">
      <c r="A23" s="341"/>
    </row>
    <row r="24" spans="1:1" x14ac:dyDescent="0.3">
      <c r="A24" s="341"/>
    </row>
    <row r="25" spans="1:1" x14ac:dyDescent="0.3">
      <c r="A25" s="341"/>
    </row>
    <row r="26" spans="1:1" x14ac:dyDescent="0.3">
      <c r="A26" s="341"/>
    </row>
    <row r="27" spans="1:1" x14ac:dyDescent="0.3">
      <c r="A27" s="341"/>
    </row>
    <row r="28" spans="1:1" x14ac:dyDescent="0.3">
      <c r="A28" s="341"/>
    </row>
    <row r="29" spans="1:1" x14ac:dyDescent="0.3">
      <c r="A29" s="341"/>
    </row>
    <row r="30" spans="1:1" x14ac:dyDescent="0.3">
      <c r="A30" s="341"/>
    </row>
    <row r="31" spans="1:1" x14ac:dyDescent="0.3">
      <c r="A31" s="341"/>
    </row>
    <row r="32" spans="1:1" x14ac:dyDescent="0.3">
      <c r="A32" s="341"/>
    </row>
    <row r="33" spans="1:1" x14ac:dyDescent="0.3">
      <c r="A33" s="341"/>
    </row>
    <row r="34" spans="1:1" x14ac:dyDescent="0.3">
      <c r="A34" s="341"/>
    </row>
    <row r="35" spans="1:1" x14ac:dyDescent="0.3">
      <c r="A35" s="341"/>
    </row>
    <row r="36" spans="1:1" x14ac:dyDescent="0.3">
      <c r="A36" s="341"/>
    </row>
    <row r="37" spans="1:1" x14ac:dyDescent="0.3">
      <c r="A37" s="341"/>
    </row>
    <row r="38" spans="1:1" x14ac:dyDescent="0.3">
      <c r="A38" s="341"/>
    </row>
    <row r="39" spans="1:1" x14ac:dyDescent="0.3">
      <c r="A39" s="341"/>
    </row>
    <row r="40" spans="1:1" x14ac:dyDescent="0.3">
      <c r="A40" s="341"/>
    </row>
    <row r="41" spans="1:1" x14ac:dyDescent="0.3">
      <c r="A41" s="341"/>
    </row>
    <row r="42" spans="1:1" x14ac:dyDescent="0.3">
      <c r="A42" s="341"/>
    </row>
    <row r="43" spans="1:1" x14ac:dyDescent="0.3">
      <c r="A43" s="341"/>
    </row>
    <row r="44" spans="1:1" x14ac:dyDescent="0.3">
      <c r="A44" s="341"/>
    </row>
    <row r="45" spans="1:1" ht="55.9" customHeight="1" x14ac:dyDescent="0.3">
      <c r="A45" s="341"/>
    </row>
  </sheetData>
  <mergeCells count="1">
    <mergeCell ref="A1:A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General Data</vt:lpstr>
      <vt:lpstr>Balance Sheet</vt:lpstr>
      <vt:lpstr>P&amp;L</vt:lpstr>
      <vt:lpstr>CF_I</vt:lpstr>
      <vt:lpstr>CF_D</vt:lpstr>
      <vt:lpstr>SOCE</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Piutti</cp:lastModifiedBy>
  <dcterms:created xsi:type="dcterms:W3CDTF">2022-04-08T09:57:37Z</dcterms:created>
  <dcterms:modified xsi:type="dcterms:W3CDTF">2023-02-18T12:49:20Z</dcterms:modified>
</cp:coreProperties>
</file>