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1 2024\"/>
    </mc:Choice>
  </mc:AlternateContent>
  <xr:revisionPtr revIDLastSave="0" documentId="13_ncr:1_{983DF3DE-8C55-4538-BC40-58C5312F052F}" xr6:coauthVersionLast="47" xr6:coauthVersionMax="47" xr10:uidLastSave="{00000000-0000-0000-0000-000000000000}"/>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56" i="18" l="1"/>
  <c r="I55" i="18"/>
  <c r="I8" i="21" l="1"/>
  <c r="I14" i="21"/>
  <c r="I30" i="21"/>
  <c r="I27" i="21"/>
  <c r="I11" i="21"/>
  <c r="I19" i="21"/>
  <c r="I17" i="21"/>
  <c r="K17" i="26" l="1"/>
  <c r="J17" i="26"/>
  <c r="I92" i="18"/>
  <c r="H43" i="21"/>
  <c r="H32" i="21"/>
  <c r="H27" i="21"/>
  <c r="H25" i="21"/>
  <c r="H19" i="21"/>
  <c r="H17" i="21"/>
  <c r="H15" i="21"/>
  <c r="H14" i="21"/>
  <c r="H12" i="21"/>
  <c r="H11" i="21"/>
  <c r="H8" i="21"/>
  <c r="P14" i="22" l="1"/>
  <c r="H125" i="18"/>
  <c r="H95" i="18"/>
  <c r="H86" i="18"/>
  <c r="H68" i="18"/>
  <c r="H59" i="18"/>
  <c r="H55" i="18"/>
  <c r="H49" i="18"/>
  <c r="H35" i="18"/>
  <c r="I94" i="18" l="1"/>
  <c r="I10" i="18" l="1"/>
  <c r="K77" i="26" l="1"/>
  <c r="K75" i="26" s="1"/>
  <c r="K74" i="26" s="1"/>
  <c r="J77" i="26"/>
  <c r="J75" i="26" s="1"/>
  <c r="J74" i="26" s="1"/>
  <c r="I77" i="26"/>
  <c r="I75" i="26" s="1"/>
  <c r="I74" i="26" s="1"/>
  <c r="H77" i="26"/>
  <c r="H75" i="26" s="1"/>
  <c r="H74" i="26" s="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9" i="26" s="1"/>
  <c r="H109" i="26" s="1"/>
  <c r="I85" i="18"/>
  <c r="H85" i="18"/>
  <c r="I89" i="26" l="1"/>
  <c r="I109" i="26" s="1"/>
  <c r="J89" i="26"/>
  <c r="J109" i="26" s="1"/>
  <c r="K89" i="26"/>
  <c r="K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U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6" i="22" l="1"/>
  <c r="U39" i="22"/>
  <c r="U59" i="22" s="1"/>
  <c r="I57" i="20"/>
  <c r="I59" i="20" s="1"/>
  <c r="I72" i="18"/>
  <c r="Y36" i="22" l="1"/>
  <c r="Y39" i="22" s="1"/>
  <c r="Y59" i="22" s="1"/>
  <c r="W39" i="22"/>
  <c r="W59" i="22" s="1"/>
</calcChain>
</file>

<file path=xl/sharedStrings.xml><?xml version="1.0" encoding="utf-8"?>
<sst xmlns="http://schemas.openxmlformats.org/spreadsheetml/2006/main" count="613" uniqueCount="539">
  <si>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</si>
  <si>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</si>
  <si>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</si>
  <si>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</si>
  <si>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</si>
  <si>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</si>
  <si>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</si>
  <si>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</si>
  <si>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</si>
  <si>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</si>
  <si>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</si>
  <si>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</si>
  <si>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</si>
  <si>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</si>
  <si>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</si>
  <si>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</si>
  <si>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</si>
  <si>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</si>
  <si>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</si>
  <si>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</si>
  <si>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</si>
  <si>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</si>
  <si>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</si>
  <si>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</si>
  <si>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</si>
  <si>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</si>
  <si>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</si>
  <si>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</si>
  <si>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</si>
  <si>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</si>
  <si>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</si>
  <si>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</si>
  <si>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</si>
  <si>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</si>
  <si>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</si>
  <si>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</si>
  <si>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</si>
  <si>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</si>
  <si>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</si>
  <si>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</si>
  <si>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</si>
  <si>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</si>
  <si>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</si>
  <si>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</si>
  <si>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</si>
  <si>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</si>
  <si>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</si>
  <si>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</si>
  <si>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</si>
  <si>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</si>
  <si>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</si>
  <si>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</si>
  <si>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</si>
  <si>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</si>
  <si>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</si>
  <si>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</si>
  <si>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</si>
  <si>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</si>
  <si>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</si>
  <si>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</si>
  <si>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</si>
  <si>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</si>
  <si>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</si>
  <si>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</si>
  <si>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</si>
  <si>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</si>
  <si>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</si>
  <si>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</si>
  <si>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</si>
  <si>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</si>
  <si>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</si>
  <si>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</si>
  <si>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</si>
  <si>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</si>
  <si>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</si>
  <si>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</si>
  <si>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</si>
  <si>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</si>
  <si>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</si>
  <si>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</si>
  <si>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</si>
  <si>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</si>
  <si>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</si>
  <si>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</si>
  <si>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</si>
  <si>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</si>
  <si>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</si>
  <si>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</si>
  <si>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</si>
  <si>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</si>
  <si>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</si>
  <si>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</si>
  <si>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</si>
  <si>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</si>
  <si>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</si>
  <si>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</si>
  <si>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</si>
  <si>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</si>
  <si>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</si>
  <si>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</si>
  <si>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</si>
  <si>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</si>
  <si>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</si>
  <si>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</si>
  <si>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</si>
  <si>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</si>
  <si>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</si>
  <si>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</si>
  <si>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</si>
  <si>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</si>
  <si>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</si>
  <si>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</si>
  <si>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</si>
  <si>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</si>
  <si>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</si>
  <si>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</si>
  <si>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</si>
  <si>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</si>
  <si>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</si>
  <si>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</si>
  <si>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</si>
  <si>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</si>
  <si>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</si>
  <si>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</si>
  <si>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</si>
  <si>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</si>
  <si>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</si>
  <si>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</si>
  <si>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</si>
  <si>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</si>
  <si>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</si>
  <si>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</si>
  <si>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</si>
  <si>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</si>
  <si>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</si>
  <si>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</si>
  <si>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</si>
  <si>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</si>
  <si>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</si>
  <si>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</si>
  <si>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</si>
  <si>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</si>
  <si>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</si>
  <si>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</si>
  <si>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</si>
  <si>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</si>
  <si>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</si>
  <si>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</si>
  <si>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</si>
  <si>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</si>
  <si>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</si>
  <si>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</si>
  <si>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</si>
  <si>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</si>
  <si>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</si>
  <si>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</si>
  <si>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</si>
  <si>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</si>
  <si>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</si>
  <si>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</si>
  <si>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</si>
  <si>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</si>
  <si>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</si>
  <si>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</si>
  <si>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</si>
  <si>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</si>
  <si>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</si>
  <si>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</si>
  <si>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</si>
  <si>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</si>
  <si>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</si>
  <si>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</si>
  <si>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</si>
  <si>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</si>
  <si>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</si>
  <si>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</si>
  <si>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</si>
  <si>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</si>
  <si>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</si>
  <si>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</si>
  <si>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</si>
  <si>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</si>
  <si>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</si>
  <si>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</si>
  <si>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</si>
  <si>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</si>
  <si>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</si>
  <si>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</si>
  <si>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</si>
  <si>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</si>
  <si>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</si>
  <si>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</si>
  <si>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</si>
  <si>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</si>
  <si>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</si>
  <si>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</si>
  <si>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</si>
  <si>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</si>
  <si>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</si>
  <si>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</si>
  <si>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</si>
  <si>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</si>
  <si>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</si>
  <si>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</si>
  <si>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</si>
  <si>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</si>
  <si>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</si>
  <si>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</si>
  <si>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</si>
  <si>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</si>
  <si>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</si>
  <si>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</si>
  <si>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</si>
  <si>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</si>
  <si>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</si>
  <si>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</si>
  <si>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</si>
  <si>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</si>
  <si>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</si>
  <si>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</si>
  <si>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</si>
  <si>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</si>
  <si>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</si>
  <si>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</si>
  <si>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</si>
  <si>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</si>
  <si>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</si>
  <si>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</si>
  <si>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</si>
  <si>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</si>
  <si>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</si>
  <si>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</si>
  <si>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</si>
  <si>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</si>
  <si>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</si>
  <si>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</si>
  <si>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</si>
  <si>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</si>
  <si>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</si>
  <si>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</si>
  <si>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</si>
  <si>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</si>
  <si>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</si>
  <si>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</si>
  <si>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</si>
  <si>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</si>
  <si>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</si>
  <si>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</si>
  <si>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</si>
  <si>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</si>
  <si>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</si>
  <si>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</si>
  <si>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</si>
  <si>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</si>
  <si>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</si>
  <si>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</si>
  <si>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</si>
  <si>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</si>
  <si>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</si>
  <si>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</si>
  <si>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</si>
  <si>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</si>
  <si>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</si>
  <si>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</si>
  <si>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</si>
  <si>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</si>
  <si>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</si>
  <si>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</si>
  <si>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</si>
  <si>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</si>
  <si>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</si>
  <si>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</si>
  <si>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</si>
  <si>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</si>
  <si>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</si>
  <si>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</si>
  <si>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</si>
  <si>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</si>
  <si>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</si>
  <si>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</si>
  <si>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</si>
  <si>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</si>
  <si>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</si>
  <si>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</si>
  <si>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</si>
  <si>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</si>
  <si>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</si>
  <si>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</si>
  <si>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</si>
  <si>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</si>
  <si>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</si>
  <si>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</si>
  <si>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</si>
  <si>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</si>
  <si>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</si>
  <si>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</si>
  <si>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</si>
  <si>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</si>
  <si>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</si>
  <si>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</si>
  <si>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</si>
  <si>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</si>
  <si>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</si>
  <si>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</si>
  <si>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</si>
  <si>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</si>
  <si>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</si>
  <si>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</si>
  <si>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</si>
  <si>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</si>
  <si>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</si>
  <si>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</si>
  <si>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</si>
  <si>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</si>
  <si>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</si>
  <si>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</si>
  <si>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</si>
  <si>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</si>
  <si>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</si>
  <si>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</si>
  <si>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</si>
  <si>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</si>
  <si>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</si>
  <si>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</si>
  <si>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</si>
  <si>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</si>
  <si>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</si>
  <si>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</si>
  <si>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</si>
  <si>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</si>
  <si>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</si>
  <si>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</si>
  <si>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</si>
  <si>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</si>
  <si>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</si>
  <si>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</si>
  <si>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</si>
  <si>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</si>
  <si>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</si>
  <si>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</si>
  <si>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</si>
  <si>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</si>
  <si>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</si>
  <si>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</si>
  <si>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</si>
  <si>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</si>
  <si>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</si>
  <si>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</si>
  <si>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</si>
  <si>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</si>
  <si>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</si>
  <si>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</si>
  <si>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</si>
  <si>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</si>
  <si>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</si>
  <si>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</si>
  <si>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</si>
  <si>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</si>
  <si>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</si>
  <si>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</si>
  <si>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</si>
  <si>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</si>
  <si>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</si>
  <si>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</si>
  <si>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</si>
  <si>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</si>
  <si>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</si>
  <si>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</si>
  <si>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</si>
  <si>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</si>
  <si>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</si>
  <si>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</si>
  <si>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</si>
  <si>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</si>
  <si>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</si>
  <si>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</si>
  <si>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</si>
  <si>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</si>
  <si>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</si>
  <si>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</si>
  <si>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</si>
  <si>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</si>
  <si>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</si>
  <si>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</si>
  <si>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</si>
  <si>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</si>
  <si>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</si>
  <si>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</si>
  <si>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</si>
  <si>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</si>
  <si>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</si>
  <si>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</si>
  <si>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</si>
  <si>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</si>
  <si>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</si>
  <si>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</si>
  <si>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</si>
  <si>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</si>
  <si>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</si>
  <si>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</si>
  <si>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</si>
  <si>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</si>
  <si>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</si>
  <si>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</si>
  <si>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</si>
  <si>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</si>
  <si>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</si>
  <si>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</si>
  <si>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</si>
  <si>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</si>
  <si>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</si>
  <si>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</si>
  <si>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</si>
  <si>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</si>
  <si>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</si>
  <si>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</si>
  <si>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</si>
  <si>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</si>
  <si>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</si>
  <si>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</si>
  <si>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</si>
  <si>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</si>
  <si>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</si>
  <si>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</si>
  <si>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</si>
  <si>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</si>
  <si>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</si>
  <si>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</si>
  <si>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</si>
  <si>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</si>
  <si>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</si>
  <si>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</si>
  <si>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</si>
  <si>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</si>
  <si>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</si>
  <si>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</si>
  <si>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</si>
  <si>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</si>
  <si>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</si>
  <si>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</si>
  <si>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</si>
  <si>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</si>
  <si>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</si>
  <si>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</si>
  <si>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</si>
  <si>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</si>
  <si>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</si>
  <si>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</si>
  <si>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</si>
  <si>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</si>
  <si>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</si>
  <si>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</si>
  <si>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</si>
  <si>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</si>
  <si>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</si>
  <si>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</si>
  <si>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</si>
  <si>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</si>
  <si>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</si>
  <si>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</si>
  <si>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</si>
  <si>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stanje na dan 31.03.2024.</t>
  </si>
  <si>
    <t>u razdoblju 01.01.2024 do 31.03.2024</t>
  </si>
  <si>
    <t>Obveznik: Mon Perin d.d.</t>
  </si>
  <si>
    <t xml:space="preserve">BILJEŠKE UZ FINANCIJSKE IZVJEŠTAJE - TFI
(koji se sastavljaju za tromjesečna razdoblja)
Naziv izdavatelja:   Mon Perin d.d. 
OIB:  06374155285
Izvještajno razdoblje: 01.01.2024. do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</si>
  <si>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01.01.2024. do 31.03.2024.</t>
  </si>
  <si>
    <t>BILJEŠKE UZ FINANCIJSKE IZVJEŠTAJE - TFI</t>
  </si>
  <si>
    <t>a)</t>
  </si>
  <si>
    <t>Poslovni događaji značajni za razumijevanje promjena u izvještaju o financijskom položaju i poslovnim rezultatima objavljeni su u nerevidiranim tromjesečnim financijskim izvještajima 31.03.2024. koji su objavljeni na Internet stranicama  Zagrebačke burze i Izdavatelja (www.monperin.hr)</t>
  </si>
  <si>
    <t>b)</t>
  </si>
  <si>
    <t>Pristup posljednjim godišnjim financijskim izvještajima moguć je na Internet stranicama Zagrebačke burze i Izdavatelja (www.monperin.hr)</t>
  </si>
  <si>
    <t>c)</t>
  </si>
  <si>
    <t>d)</t>
  </si>
  <si>
    <t>Utjecaj sezonalnosti objašnjen je u nerevidiranim tromjesečnim financijskim izvještajima 31.03.2024. objavljenim na Internet stranicama Zagrebačke burze i Izdavatelja (www.monperin.hr)</t>
  </si>
  <si>
    <t>e)</t>
  </si>
  <si>
    <t>Ostale objave koje propisuje MRS 34 - Financijsko izvještavanje za razdoblja tijekom godine navedene su u nerevidiranim tromjesečnim financijskim izvještajima 31.03.2024. objavljenim na Internet stranicama Zagrebačke burze i Izdavatelja (www.monperin.hr).</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</si>
  <si>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</si>
  <si>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</si>
  <si>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</si>
  <si>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</si>
  <si>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</si>
  <si>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</si>
  <si>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</si>
  <si>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</si>
  <si>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</si>
  <si>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</si>
  <si>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</si>
  <si>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</si>
  <si>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</si>
  <si>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</si>
  <si>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</si>
  <si>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Detalji su navedeni u nerevidiranim tromjesečnim financijskim izvještajima 31.03.2024. objavljenim na Internet stranicama  Zagrebačke burze i Izdavatelja (www.monperin.hr).</t>
  </si>
  <si>
    <t>5.</t>
  </si>
  <si>
    <t>Od ukupno iskazanih dugoročnih obveza Društvo ima obaveza koje dospijevaju nakon više od pet godina u iznosu od 12.073 tisuće eura.</t>
  </si>
  <si>
    <t>6.</t>
  </si>
  <si>
    <t xml:space="preserve">U razdoblju od 01.01. do 31.03.2024. godine u Društvu je bilo zaposleno prosječno 53 radnika. </t>
  </si>
  <si>
    <t>7.</t>
  </si>
  <si>
    <t>Društvo nije kapitaliziralo troškove plaća u promatranom razdoblju.</t>
  </si>
  <si>
    <t>8.</t>
  </si>
  <si>
    <t>Stanje odgođenog poreza na kraju 2023. godine kao i kretanje odgođenog poreza tijekom razdoblja 01.01.-31.03.2024.:</t>
  </si>
  <si>
    <t>(u tisućama eura)</t>
  </si>
  <si>
    <t>Na dan 31. prosinca 2023.</t>
  </si>
  <si>
    <t>Iskazano u računu dobiti i gubitka</t>
  </si>
  <si>
    <t>Iskazano u ostaloj sveobuhvatnoj dobiti</t>
  </si>
  <si>
    <t>Na dan 31. ožujka 2024.</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</si>
  <si>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</si>
  <si>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</si>
  <si>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</si>
  <si>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</si>
  <si>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</si>
  <si>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</si>
  <si>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</si>
  <si>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</si>
  <si>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</si>
  <si>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</si>
  <si>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</si>
  <si>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</si>
  <si>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</si>
  <si>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</si>
  <si>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</si>
  <si>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Društvo nema potvrda o sudjelovanju, konvertibilnih zadužnica, jamstava, opcija ili sličnih vrijednosnica ili prava.</t>
  </si>
  <si>
    <t>12.</t>
  </si>
  <si>
    <t>Društvo nema udjela u društvima s neograničenom odgovornosti.</t>
  </si>
  <si>
    <t>13.</t>
  </si>
  <si>
    <t>Društvo je krajnja matica te nije kontrolirani član druge grupe.</t>
  </si>
  <si>
    <t>Društvo sastavlja konsolidirane financijske izvještaje koji su objavljeni na Internet stranicama Zagrebačke burze i Izdavatelja (www.monperin.hr).</t>
  </si>
  <si>
    <t>14.</t>
  </si>
  <si>
    <t>15.</t>
  </si>
  <si>
    <t>Izdavatelj sastavlja nerevidirane kvartalne konsolidirane financijske izvještaje koji su dostupni na Internet stranicama Zagrebačke burze i Izdavatelja (www.monperin.hr).</t>
  </si>
  <si>
    <t>16.</t>
  </si>
  <si>
    <t>Društvo nema materijalnih aranžmana sa društvima koja nisu uključena u bilancu.</t>
  </si>
  <si>
    <t>17.</t>
  </si>
  <si>
    <t>Nije bilo značajnih događaja koji su nastupili nakon datuma bilance.</t>
  </si>
  <si>
    <t>Nerevidirani nekonsolidirani financijski izvještaji za prvo tromjesječje pripremljeni su temeljem istih računovodstvenih politika, prikaza i metoda izračuna koji su se koristili prilikom pripreme godišnjih financijskih izvještaja na dan 31. prosinca 2023. godine.</t>
  </si>
  <si>
    <t>Za osiguranje plaćanja po kreditima odobrenim od strane banaka i ostalih kreditora za Društvo su upisane hipoteke na imovini i to na zemljištima i zgradama u vrijednosti od  3.600 tisuća eura.</t>
  </si>
  <si>
    <t>Nerevidirani financijski izvještaji Mon Perin d.d. za razdoblje 01.01.-31.03.2024. godine pripremljeni su u skladu sa Zakonom o računovodstvu Republike Hrvatske i Međunarodnim standardima financijskog izvještavanja (MSFI) te daju cjelovit i istinit prikaz imovine i obveza, dobitka i gubitka, financijskog položaja i poslovanja.
Nerevidirani nekonsolidirani financijski izvještaji za prvo tromjesječje pripremljeni su temeljem istih računovodstvenih politika, prikaza i metoda izračuna koji su se koristili prilikom pripreme godišnjih financijskih izvještaja na dan 31. prosinca 2023. godine.</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</si>
  <si>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sz val="10"/>
        <rFont val="Arial"/>
        <family val="2"/>
      </rPr>
      <t>"Rezultati poslovanja I kvartal 2024. godina"</t>
    </r>
    <r>
      <rPr>
        <sz val="10"/>
        <rFont val="Arial"/>
        <family val="2"/>
        <charset val="238"/>
      </rPr>
      <t xml:space="preserve"> koji je istovremeno s ovim dokumentom objavljen na internetskim stranicama HANFA-e, Zagrebačke burze i Izdavatelja  (www.monperin.hr).</t>
    </r>
  </si>
  <si>
    <t>Bilješke uz tromjesečne financijske izvještaje i detaljnije informacije o poslovnim rezultatima i događajima koji su značajni za razumijevanje promjena u financijskim izvještajima dostupne su u objavljenom PDF dokumentu "Rezultati poslovanja I kvartal 2024. godina" koji je istovremeno s ovim dokumentom objavljen na internetskim stranicama HANFA-e, Zagrebačke burze i Izdavatelja  (www.monperin.hr).</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</si>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</sst>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theme="1"/>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7"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7"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xf numFmtId="0" fontId="0" fillId="0" borderId="0" xfId="0" applyAlignment="1">
      <alignment horizontal="left" wrapText="1"/>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11" borderId="0" xfId="0" applyFont="1" applyFill="1" applyAlignment="1">
      <alignment horizontal="left" wrapText="1"/>
    </xf>
    <xf numFmtId="0" fontId="0" fillId="0" borderId="0" xfId="0"/>
    <xf numFmtId="0" fontId="0" fillId="0" borderId="0" xfId="0" applyAlignment="1">
      <alignment horizontal="left"/>
    </xf>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7" zoomScaleNormal="100" zoomScaleSheetLayoutView="100" workbookViewId="0">
      <selection activeCell="C17" sqref="C17:D17"/>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45382</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1</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538</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334</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c r="B37" s="178"/>
      <c r="C37" s="178"/>
      <c r="D37" s="178"/>
      <c r="E37" s="177"/>
      <c r="F37" s="178"/>
      <c r="G37" s="178"/>
      <c r="H37" s="178"/>
      <c r="I37" s="179"/>
      <c r="J37" s="88"/>
    </row>
    <row r="38" spans="1:10" x14ac:dyDescent="0.25">
      <c r="A38" s="77"/>
      <c r="B38" s="87"/>
      <c r="C38" s="90"/>
      <c r="D38" s="182"/>
      <c r="E38" s="182"/>
      <c r="F38" s="182"/>
      <c r="G38" s="182"/>
      <c r="H38" s="182"/>
      <c r="I38" s="182"/>
      <c r="J38" s="78"/>
    </row>
    <row r="39" spans="1:10" x14ac:dyDescent="0.25">
      <c r="A39" s="177"/>
      <c r="B39" s="178"/>
      <c r="C39" s="178"/>
      <c r="D39" s="179"/>
      <c r="E39" s="177"/>
      <c r="F39" s="178"/>
      <c r="G39" s="178"/>
      <c r="H39" s="178"/>
      <c r="I39" s="179"/>
      <c r="J39" s="40"/>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58" zoomScaleNormal="100" zoomScaleSheetLayoutView="100" workbookViewId="0">
      <selection activeCell="R68" sqref="R68"/>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461</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463</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54251263.890000001</v>
      </c>
      <c r="I9" s="81">
        <f>I10+I17+I27+I38+I43</f>
        <v>56192466</v>
      </c>
    </row>
    <row r="10" spans="1:9" ht="12.95" customHeight="1" x14ac:dyDescent="0.2">
      <c r="A10" s="220" t="s">
        <v>5</v>
      </c>
      <c r="B10" s="220"/>
      <c r="C10" s="220"/>
      <c r="D10" s="220"/>
      <c r="E10" s="220"/>
      <c r="F10" s="220"/>
      <c r="G10" s="12">
        <v>3</v>
      </c>
      <c r="H10" s="81">
        <f>H11+H12+H13+H14+H15+H16</f>
        <v>1786.8200000000002</v>
      </c>
      <c r="I10" s="81">
        <f>I11+I12+I13+I14+I15+I16</f>
        <v>1665</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1219.23</v>
      </c>
      <c r="I12" s="18">
        <v>1097</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567.59</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35742476.990000002</v>
      </c>
      <c r="I17" s="81">
        <f>I18+I19+I20+I21+I22+I23+I24+I25+I26</f>
        <v>37357676</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27083763</v>
      </c>
    </row>
    <row r="20" spans="1:9" ht="12.95" customHeight="1" x14ac:dyDescent="0.2">
      <c r="A20" s="216" t="s">
        <v>15</v>
      </c>
      <c r="B20" s="216"/>
      <c r="C20" s="216"/>
      <c r="D20" s="216"/>
      <c r="E20" s="216"/>
      <c r="F20" s="216"/>
      <c r="G20" s="11">
        <v>13</v>
      </c>
      <c r="H20" s="18">
        <v>1956740.5</v>
      </c>
      <c r="I20" s="18">
        <v>1818865</v>
      </c>
    </row>
    <row r="21" spans="1:9" ht="12.95" customHeight="1" x14ac:dyDescent="0.2">
      <c r="A21" s="216" t="s">
        <v>16</v>
      </c>
      <c r="B21" s="216"/>
      <c r="C21" s="216"/>
      <c r="D21" s="216"/>
      <c r="E21" s="216"/>
      <c r="F21" s="216"/>
      <c r="G21" s="11">
        <v>14</v>
      </c>
      <c r="H21" s="18">
        <v>401430.8</v>
      </c>
      <c r="I21" s="18">
        <v>381767</v>
      </c>
    </row>
    <row r="22" spans="1:9" ht="12.95" customHeight="1" x14ac:dyDescent="0.2">
      <c r="A22" s="216" t="s">
        <v>17</v>
      </c>
      <c r="B22" s="216"/>
      <c r="C22" s="216"/>
      <c r="D22" s="216"/>
      <c r="E22" s="216"/>
      <c r="F22" s="216"/>
      <c r="G22" s="11">
        <v>15</v>
      </c>
      <c r="H22" s="18">
        <v>181953.92000000001</v>
      </c>
      <c r="I22" s="18">
        <v>175455</v>
      </c>
    </row>
    <row r="23" spans="1:9" ht="12.95" customHeight="1" x14ac:dyDescent="0.2">
      <c r="A23" s="216" t="s">
        <v>18</v>
      </c>
      <c r="B23" s="216"/>
      <c r="C23" s="216"/>
      <c r="D23" s="216"/>
      <c r="E23" s="216"/>
      <c r="F23" s="216"/>
      <c r="G23" s="11">
        <v>16</v>
      </c>
      <c r="H23" s="18">
        <v>571702.48</v>
      </c>
      <c r="I23" s="18">
        <v>1082184</v>
      </c>
    </row>
    <row r="24" spans="1:9" ht="12.95" customHeight="1" x14ac:dyDescent="0.2">
      <c r="A24" s="216" t="s">
        <v>19</v>
      </c>
      <c r="B24" s="216"/>
      <c r="C24" s="216"/>
      <c r="D24" s="216"/>
      <c r="E24" s="216"/>
      <c r="F24" s="216"/>
      <c r="G24" s="11">
        <v>17</v>
      </c>
      <c r="H24" s="18">
        <v>4383106.74</v>
      </c>
      <c r="I24" s="18">
        <v>6175928</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18507000.079999998</v>
      </c>
      <c r="I27" s="81">
        <f>SUM(I28:I37)</f>
        <v>18833125</v>
      </c>
    </row>
    <row r="28" spans="1:9" ht="12.95" customHeight="1" x14ac:dyDescent="0.2">
      <c r="A28" s="216" t="s">
        <v>23</v>
      </c>
      <c r="B28" s="216"/>
      <c r="C28" s="216"/>
      <c r="D28" s="216"/>
      <c r="E28" s="216"/>
      <c r="F28" s="216"/>
      <c r="G28" s="11">
        <v>21</v>
      </c>
      <c r="H28" s="18">
        <v>5308.92</v>
      </c>
      <c r="I28" s="18">
        <v>5309</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17712993</v>
      </c>
    </row>
    <row r="35" spans="1:9" ht="12.95" customHeight="1" x14ac:dyDescent="0.2">
      <c r="A35" s="216" t="s">
        <v>30</v>
      </c>
      <c r="B35" s="216"/>
      <c r="C35" s="216"/>
      <c r="D35" s="216"/>
      <c r="E35" s="216"/>
      <c r="F35" s="216"/>
      <c r="G35" s="11">
        <v>28</v>
      </c>
      <c r="H35" s="18">
        <f>227940.94+500000+218775.51</f>
        <v>946716.45</v>
      </c>
      <c r="I35" s="18">
        <v>946716</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6287612.5800000001</v>
      </c>
      <c r="I44" s="81">
        <f>I45+I53+I60+I70</f>
        <v>4555051</v>
      </c>
    </row>
    <row r="45" spans="1:9" ht="12.95" customHeight="1" x14ac:dyDescent="0.2">
      <c r="A45" s="220" t="s">
        <v>39</v>
      </c>
      <c r="B45" s="220"/>
      <c r="C45" s="220"/>
      <c r="D45" s="220"/>
      <c r="E45" s="220"/>
      <c r="F45" s="220"/>
      <c r="G45" s="12">
        <v>38</v>
      </c>
      <c r="H45" s="81">
        <f>SUM(H46:H52)</f>
        <v>75633.48000000001</v>
      </c>
      <c r="I45" s="81">
        <f>SUM(I46:I52)</f>
        <v>109524</v>
      </c>
    </row>
    <row r="46" spans="1:9" ht="12.95" customHeight="1" x14ac:dyDescent="0.2">
      <c r="A46" s="216" t="s">
        <v>40</v>
      </c>
      <c r="B46" s="216"/>
      <c r="C46" s="216"/>
      <c r="D46" s="216"/>
      <c r="E46" s="216"/>
      <c r="F46" s="216"/>
      <c r="G46" s="11">
        <v>39</v>
      </c>
      <c r="H46" s="18">
        <v>209.72</v>
      </c>
      <c r="I46" s="18">
        <v>210</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32225</v>
      </c>
    </row>
    <row r="50" spans="1:9" ht="12.95" customHeight="1" x14ac:dyDescent="0.2">
      <c r="A50" s="216" t="s">
        <v>44</v>
      </c>
      <c r="B50" s="216"/>
      <c r="C50" s="216"/>
      <c r="D50" s="216"/>
      <c r="E50" s="216"/>
      <c r="F50" s="216"/>
      <c r="G50" s="11">
        <v>43</v>
      </c>
      <c r="H50" s="18">
        <v>54593.73</v>
      </c>
      <c r="I50" s="18">
        <v>77089</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688996.85</v>
      </c>
      <c r="I53" s="81">
        <f>SUM(I54:I59)</f>
        <v>392061</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f>5398.27+183405.67</f>
        <v>188803.94</v>
      </c>
      <c r="I55" s="18">
        <f>830+2991</f>
        <v>3821</v>
      </c>
    </row>
    <row r="56" spans="1:9" ht="12.95" customHeight="1" x14ac:dyDescent="0.2">
      <c r="A56" s="216" t="s">
        <v>50</v>
      </c>
      <c r="B56" s="216"/>
      <c r="C56" s="216"/>
      <c r="D56" s="216"/>
      <c r="E56" s="216"/>
      <c r="F56" s="216"/>
      <c r="G56" s="11">
        <v>49</v>
      </c>
      <c r="H56" s="18">
        <v>119974.37</v>
      </c>
      <c r="I56" s="18">
        <f>73754-2291</f>
        <v>71463</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301109.93</v>
      </c>
      <c r="I58" s="18">
        <v>260023</v>
      </c>
    </row>
    <row r="59" spans="1:9" ht="12.95" customHeight="1" x14ac:dyDescent="0.2">
      <c r="A59" s="216" t="s">
        <v>53</v>
      </c>
      <c r="B59" s="216"/>
      <c r="C59" s="216"/>
      <c r="D59" s="216"/>
      <c r="E59" s="216"/>
      <c r="F59" s="216"/>
      <c r="G59" s="11">
        <v>52</v>
      </c>
      <c r="H59" s="18">
        <f>243261.49-183405.67-17162.91+36415.7</f>
        <v>79108.609999999971</v>
      </c>
      <c r="I59" s="18">
        <v>56754</v>
      </c>
    </row>
    <row r="60" spans="1:9" ht="12.95" customHeight="1" x14ac:dyDescent="0.2">
      <c r="A60" s="220" t="s">
        <v>54</v>
      </c>
      <c r="B60" s="220"/>
      <c r="C60" s="220"/>
      <c r="D60" s="220"/>
      <c r="E60" s="220"/>
      <c r="F60" s="220"/>
      <c r="G60" s="12">
        <v>53</v>
      </c>
      <c r="H60" s="81">
        <f>SUM(H61:H69)</f>
        <v>4862143.09</v>
      </c>
      <c r="I60" s="81">
        <f>SUM(I61:I69)</f>
        <v>3413249</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3413249</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660839.16</v>
      </c>
      <c r="I70" s="18">
        <v>640217</v>
      </c>
    </row>
    <row r="71" spans="1:9" ht="12.95" customHeight="1" x14ac:dyDescent="0.2">
      <c r="A71" s="217" t="s">
        <v>58</v>
      </c>
      <c r="B71" s="217"/>
      <c r="C71" s="217"/>
      <c r="D71" s="217"/>
      <c r="E71" s="217"/>
      <c r="F71" s="217"/>
      <c r="G71" s="11">
        <v>64</v>
      </c>
      <c r="H71" s="18">
        <v>0</v>
      </c>
      <c r="I71" s="18">
        <v>0</v>
      </c>
    </row>
    <row r="72" spans="1:9" ht="12.95" customHeight="1" x14ac:dyDescent="0.2">
      <c r="A72" s="218" t="s">
        <v>303</v>
      </c>
      <c r="B72" s="218"/>
      <c r="C72" s="218"/>
      <c r="D72" s="218"/>
      <c r="E72" s="218"/>
      <c r="F72" s="218"/>
      <c r="G72" s="12">
        <v>65</v>
      </c>
      <c r="H72" s="81">
        <f>H8+H9+H44+H71</f>
        <v>60538876.469999999</v>
      </c>
      <c r="I72" s="81">
        <f>I8+I9+I44+I71</f>
        <v>60747517</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37211947.699999996</v>
      </c>
      <c r="I75" s="82">
        <f>I76+I77+I78+I84+I85+I91+I94+I97</f>
        <v>36171135</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72712</v>
      </c>
    </row>
    <row r="81" spans="1:9" ht="12.95" customHeight="1" x14ac:dyDescent="0.2">
      <c r="A81" s="216" t="s">
        <v>65</v>
      </c>
      <c r="B81" s="216"/>
      <c r="C81" s="216"/>
      <c r="D81" s="216"/>
      <c r="E81" s="216"/>
      <c r="F81" s="216"/>
      <c r="G81" s="11">
        <v>73</v>
      </c>
      <c r="H81" s="18">
        <v>-72712</v>
      </c>
      <c r="I81" s="18">
        <v>-72712</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2281359</v>
      </c>
    </row>
    <row r="86" spans="1:9" ht="25.5" customHeight="1" x14ac:dyDescent="0.2">
      <c r="A86" s="216" t="s">
        <v>444</v>
      </c>
      <c r="B86" s="216"/>
      <c r="C86" s="216"/>
      <c r="D86" s="216"/>
      <c r="E86" s="216"/>
      <c r="F86" s="216"/>
      <c r="G86" s="11">
        <v>78</v>
      </c>
      <c r="H86" s="18">
        <f>2456020.47-442083.68</f>
        <v>2013936.7900000003</v>
      </c>
      <c r="I86" s="18">
        <v>2281359</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3753579.74</v>
      </c>
      <c r="I91" s="81">
        <f>I92-I93</f>
        <v>8951261</v>
      </c>
    </row>
    <row r="92" spans="1:9" ht="12.95" customHeight="1" x14ac:dyDescent="0.2">
      <c r="A92" s="216" t="s">
        <v>71</v>
      </c>
      <c r="B92" s="216"/>
      <c r="C92" s="216"/>
      <c r="D92" s="216"/>
      <c r="E92" s="216"/>
      <c r="F92" s="216"/>
      <c r="G92" s="11">
        <v>84</v>
      </c>
      <c r="H92" s="18">
        <v>3753579.74</v>
      </c>
      <c r="I92" s="18">
        <f>3753580+5197681</f>
        <v>8951261</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5197681.26</v>
      </c>
      <c r="I94" s="81">
        <f>I95-I96</f>
        <v>-1308235</v>
      </c>
    </row>
    <row r="95" spans="1:9" ht="12.95" customHeight="1" x14ac:dyDescent="0.2">
      <c r="A95" s="216" t="s">
        <v>73</v>
      </c>
      <c r="B95" s="216"/>
      <c r="C95" s="216"/>
      <c r="D95" s="216"/>
      <c r="E95" s="216"/>
      <c r="F95" s="216"/>
      <c r="G95" s="11">
        <v>87</v>
      </c>
      <c r="H95" s="18">
        <f>5197681.26</f>
        <v>5197681.26</v>
      </c>
      <c r="I95" s="18">
        <v>0</v>
      </c>
    </row>
    <row r="96" spans="1:9" ht="12.95" customHeight="1" x14ac:dyDescent="0.2">
      <c r="A96" s="216" t="s">
        <v>74</v>
      </c>
      <c r="B96" s="216"/>
      <c r="C96" s="216"/>
      <c r="D96" s="216"/>
      <c r="E96" s="216"/>
      <c r="F96" s="216"/>
      <c r="G96" s="11">
        <v>88</v>
      </c>
      <c r="H96" s="18">
        <v>0</v>
      </c>
      <c r="I96" s="18">
        <v>1308235</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200204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27664</v>
      </c>
    </row>
    <row r="105" spans="1:9" ht="12.95" customHeight="1" x14ac:dyDescent="0.2">
      <c r="A105" s="218" t="s">
        <v>353</v>
      </c>
      <c r="B105" s="218"/>
      <c r="C105" s="218"/>
      <c r="D105" s="218"/>
      <c r="E105" s="218"/>
      <c r="F105" s="218"/>
      <c r="G105" s="12">
        <v>97</v>
      </c>
      <c r="H105" s="81">
        <f>SUM(H106:H116)</f>
        <v>20137311.689999998</v>
      </c>
      <c r="I105" s="81">
        <f>SUM(I106:I116)</f>
        <v>20378899</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729975</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14426282</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4721856</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500786</v>
      </c>
    </row>
    <row r="117" spans="1:9" ht="12.95" customHeight="1" x14ac:dyDescent="0.2">
      <c r="A117" s="218" t="s">
        <v>354</v>
      </c>
      <c r="B117" s="218"/>
      <c r="C117" s="218"/>
      <c r="D117" s="218"/>
      <c r="E117" s="218"/>
      <c r="F117" s="218"/>
      <c r="G117" s="12">
        <v>109</v>
      </c>
      <c r="H117" s="81">
        <f>SUM(H118:H131)</f>
        <v>2912216.8800000004</v>
      </c>
      <c r="I117" s="81">
        <f>SUM(I118:I131)</f>
        <v>3919441</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253927</v>
      </c>
    </row>
    <row r="121" spans="1:9" ht="23.45" customHeight="1" x14ac:dyDescent="0.2">
      <c r="A121" s="216" t="s">
        <v>85</v>
      </c>
      <c r="B121" s="216"/>
      <c r="C121" s="216"/>
      <c r="D121" s="216"/>
      <c r="E121" s="216"/>
      <c r="F121" s="216"/>
      <c r="G121" s="11">
        <v>113</v>
      </c>
      <c r="H121" s="18">
        <v>132722.82</v>
      </c>
      <c r="I121" s="18">
        <v>349542</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1298628</v>
      </c>
    </row>
    <row r="124" spans="1:9" ht="12.95" customHeight="1" x14ac:dyDescent="0.2">
      <c r="A124" s="216" t="s">
        <v>88</v>
      </c>
      <c r="B124" s="216"/>
      <c r="C124" s="216"/>
      <c r="D124" s="216"/>
      <c r="E124" s="216"/>
      <c r="F124" s="216"/>
      <c r="G124" s="11">
        <v>116</v>
      </c>
      <c r="H124" s="18">
        <v>263164.36</v>
      </c>
      <c r="I124" s="18">
        <v>386838</v>
      </c>
    </row>
    <row r="125" spans="1:9" ht="12.95" customHeight="1" x14ac:dyDescent="0.2">
      <c r="A125" s="216" t="s">
        <v>89</v>
      </c>
      <c r="B125" s="216"/>
      <c r="C125" s="216"/>
      <c r="D125" s="216"/>
      <c r="E125" s="216"/>
      <c r="F125" s="216"/>
      <c r="G125" s="11">
        <v>117</v>
      </c>
      <c r="H125" s="18">
        <f>1138567.06-123755</f>
        <v>1014812.06</v>
      </c>
      <c r="I125" s="18">
        <v>1480890</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85371</v>
      </c>
    </row>
    <row r="128" spans="1:9" x14ac:dyDescent="0.2">
      <c r="A128" s="216" t="s">
        <v>94</v>
      </c>
      <c r="B128" s="216"/>
      <c r="C128" s="216"/>
      <c r="D128" s="216"/>
      <c r="E128" s="216"/>
      <c r="F128" s="216"/>
      <c r="G128" s="11">
        <v>120</v>
      </c>
      <c r="H128" s="18">
        <v>27948.37</v>
      </c>
      <c r="I128" s="18">
        <v>50427</v>
      </c>
    </row>
    <row r="129" spans="1:9" x14ac:dyDescent="0.2">
      <c r="A129" s="216" t="s">
        <v>95</v>
      </c>
      <c r="B129" s="216"/>
      <c r="C129" s="216"/>
      <c r="D129" s="216"/>
      <c r="E129" s="216"/>
      <c r="F129" s="216"/>
      <c r="G129" s="11">
        <v>121</v>
      </c>
      <c r="H129" s="18">
        <v>13723.73</v>
      </c>
      <c r="I129" s="18">
        <v>13724</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94</v>
      </c>
    </row>
    <row r="132" spans="1:9" ht="22.15" customHeight="1" x14ac:dyDescent="0.2">
      <c r="A132" s="217" t="s">
        <v>98</v>
      </c>
      <c r="B132" s="217"/>
      <c r="C132" s="217"/>
      <c r="D132" s="217"/>
      <c r="E132" s="217"/>
      <c r="F132" s="217"/>
      <c r="G132" s="11">
        <v>124</v>
      </c>
      <c r="H132" s="18">
        <v>77196.69</v>
      </c>
      <c r="I132" s="18">
        <v>77138</v>
      </c>
    </row>
    <row r="133" spans="1:9" ht="12.95" customHeight="1" x14ac:dyDescent="0.2">
      <c r="A133" s="218" t="s">
        <v>355</v>
      </c>
      <c r="B133" s="218"/>
      <c r="C133" s="218"/>
      <c r="D133" s="218"/>
      <c r="E133" s="218"/>
      <c r="F133" s="218"/>
      <c r="G133" s="12">
        <v>125</v>
      </c>
      <c r="H133" s="81">
        <f>H75+H98+H105+H117+H132</f>
        <v>60538876.219999991</v>
      </c>
      <c r="I133" s="81">
        <f>I75+I98+I105+I117+I132</f>
        <v>60746817</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2" zoomScale="90" zoomScaleNormal="90" zoomScaleSheetLayoutView="110" workbookViewId="0">
      <selection activeCell="Q21" sqref="Q2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462</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463</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995094</v>
      </c>
      <c r="I8" s="48">
        <f>SUM(I9:I13)</f>
        <v>995094</v>
      </c>
      <c r="J8" s="48">
        <f>SUM(J9:J13)</f>
        <v>522067</v>
      </c>
      <c r="K8" s="48">
        <f>SUM(K9:K13)</f>
        <v>522067</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v>924302</v>
      </c>
      <c r="I10" s="49">
        <v>924302</v>
      </c>
      <c r="J10" s="49">
        <v>517958</v>
      </c>
      <c r="K10" s="49">
        <v>517958</v>
      </c>
    </row>
    <row r="11" spans="1:11" ht="12.95" customHeight="1" x14ac:dyDescent="0.2">
      <c r="A11" s="216" t="s">
        <v>116</v>
      </c>
      <c r="B11" s="216"/>
      <c r="C11" s="216"/>
      <c r="D11" s="216"/>
      <c r="E11" s="216"/>
      <c r="F11" s="216"/>
      <c r="G11" s="11">
        <v>4</v>
      </c>
      <c r="H11" s="49">
        <v>0</v>
      </c>
      <c r="I11" s="49">
        <v>0</v>
      </c>
      <c r="J11" s="49">
        <v>0</v>
      </c>
      <c r="K11" s="49">
        <v>0</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v>70792</v>
      </c>
      <c r="I13" s="49">
        <v>70792</v>
      </c>
      <c r="J13" s="49">
        <v>4109</v>
      </c>
      <c r="K13" s="49">
        <v>4109</v>
      </c>
    </row>
    <row r="14" spans="1:11" ht="12.95" customHeight="1" x14ac:dyDescent="0.2">
      <c r="A14" s="247" t="s">
        <v>357</v>
      </c>
      <c r="B14" s="247"/>
      <c r="C14" s="247"/>
      <c r="D14" s="247"/>
      <c r="E14" s="247"/>
      <c r="F14" s="247"/>
      <c r="G14" s="12">
        <v>7</v>
      </c>
      <c r="H14" s="48">
        <f>H15+H16+H20+H24+H25+H26+H29+H36</f>
        <v>1374190</v>
      </c>
      <c r="I14" s="48">
        <f>I15+I16+I20+I24+I25+I26+I29+I36</f>
        <v>1374190</v>
      </c>
      <c r="J14" s="48">
        <f>J15+J16+J20+J24+J25+J26+J29+J36</f>
        <v>1696098</v>
      </c>
      <c r="K14" s="48">
        <f>K15+K16+K20+K24+K25+K26+K29+K36</f>
        <v>1696098</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631424</v>
      </c>
      <c r="I16" s="48">
        <f>SUM(I17:I19)</f>
        <v>631424</v>
      </c>
      <c r="J16" s="48">
        <f>SUM(J17:J19)</f>
        <v>684217</v>
      </c>
      <c r="K16" s="48">
        <f>SUM(K17:K19)</f>
        <v>684217</v>
      </c>
    </row>
    <row r="17" spans="1:11" ht="12.95" customHeight="1" x14ac:dyDescent="0.2">
      <c r="A17" s="250" t="s">
        <v>119</v>
      </c>
      <c r="B17" s="250"/>
      <c r="C17" s="250"/>
      <c r="D17" s="250"/>
      <c r="E17" s="250"/>
      <c r="F17" s="250"/>
      <c r="G17" s="11">
        <v>10</v>
      </c>
      <c r="H17" s="49">
        <v>191805</v>
      </c>
      <c r="I17" s="49">
        <v>191805</v>
      </c>
      <c r="J17" s="49">
        <f>107249+92221</f>
        <v>199470</v>
      </c>
      <c r="K17" s="49">
        <f>107249+92221</f>
        <v>199470</v>
      </c>
    </row>
    <row r="18" spans="1:11" ht="12.95" customHeight="1" x14ac:dyDescent="0.2">
      <c r="A18" s="250" t="s">
        <v>120</v>
      </c>
      <c r="B18" s="250"/>
      <c r="C18" s="250"/>
      <c r="D18" s="250"/>
      <c r="E18" s="250"/>
      <c r="F18" s="250"/>
      <c r="G18" s="11">
        <v>11</v>
      </c>
      <c r="H18" s="49">
        <v>57</v>
      </c>
      <c r="I18" s="49">
        <v>57</v>
      </c>
      <c r="J18" s="49">
        <v>18</v>
      </c>
      <c r="K18" s="49">
        <v>18</v>
      </c>
    </row>
    <row r="19" spans="1:11" ht="12.95" customHeight="1" x14ac:dyDescent="0.2">
      <c r="A19" s="250" t="s">
        <v>121</v>
      </c>
      <c r="B19" s="250"/>
      <c r="C19" s="250"/>
      <c r="D19" s="250"/>
      <c r="E19" s="250"/>
      <c r="F19" s="250"/>
      <c r="G19" s="11">
        <v>12</v>
      </c>
      <c r="H19" s="49">
        <v>439562</v>
      </c>
      <c r="I19" s="49">
        <v>439562</v>
      </c>
      <c r="J19" s="49">
        <v>484729</v>
      </c>
      <c r="K19" s="49">
        <v>484729</v>
      </c>
    </row>
    <row r="20" spans="1:11" ht="12.95" customHeight="1" x14ac:dyDescent="0.2">
      <c r="A20" s="220" t="s">
        <v>438</v>
      </c>
      <c r="B20" s="220"/>
      <c r="C20" s="220"/>
      <c r="D20" s="220"/>
      <c r="E20" s="220"/>
      <c r="F20" s="220"/>
      <c r="G20" s="12">
        <v>13</v>
      </c>
      <c r="H20" s="48">
        <f>SUM(H21:H23)</f>
        <v>170777</v>
      </c>
      <c r="I20" s="48">
        <f>SUM(I21:I23)</f>
        <v>170777</v>
      </c>
      <c r="J20" s="48">
        <f>SUM(J21:J23)</f>
        <v>230612</v>
      </c>
      <c r="K20" s="48">
        <f>SUM(K21:K23)</f>
        <v>230612</v>
      </c>
    </row>
    <row r="21" spans="1:11" ht="12.95" customHeight="1" x14ac:dyDescent="0.2">
      <c r="A21" s="250" t="s">
        <v>104</v>
      </c>
      <c r="B21" s="250"/>
      <c r="C21" s="250"/>
      <c r="D21" s="250"/>
      <c r="E21" s="250"/>
      <c r="F21" s="250"/>
      <c r="G21" s="11">
        <v>14</v>
      </c>
      <c r="H21" s="49">
        <v>108094</v>
      </c>
      <c r="I21" s="49">
        <v>108094</v>
      </c>
      <c r="J21" s="49">
        <v>142608</v>
      </c>
      <c r="K21" s="49">
        <v>142608</v>
      </c>
    </row>
    <row r="22" spans="1:11" ht="12.95" customHeight="1" x14ac:dyDescent="0.2">
      <c r="A22" s="250" t="s">
        <v>105</v>
      </c>
      <c r="B22" s="250"/>
      <c r="C22" s="250"/>
      <c r="D22" s="250"/>
      <c r="E22" s="250"/>
      <c r="F22" s="250"/>
      <c r="G22" s="11">
        <v>15</v>
      </c>
      <c r="H22" s="49">
        <v>39631</v>
      </c>
      <c r="I22" s="49">
        <v>39631</v>
      </c>
      <c r="J22" s="49">
        <v>53928</v>
      </c>
      <c r="K22" s="49">
        <v>53928</v>
      </c>
    </row>
    <row r="23" spans="1:11" ht="12.95" customHeight="1" x14ac:dyDescent="0.2">
      <c r="A23" s="250" t="s">
        <v>106</v>
      </c>
      <c r="B23" s="250"/>
      <c r="C23" s="250"/>
      <c r="D23" s="250"/>
      <c r="E23" s="250"/>
      <c r="F23" s="250"/>
      <c r="G23" s="11">
        <v>16</v>
      </c>
      <c r="H23" s="49">
        <v>23052</v>
      </c>
      <c r="I23" s="49">
        <v>23052</v>
      </c>
      <c r="J23" s="49">
        <v>34076</v>
      </c>
      <c r="K23" s="49">
        <v>34076</v>
      </c>
    </row>
    <row r="24" spans="1:11" ht="12.95" customHeight="1" x14ac:dyDescent="0.2">
      <c r="A24" s="216" t="s">
        <v>107</v>
      </c>
      <c r="B24" s="216"/>
      <c r="C24" s="216"/>
      <c r="D24" s="216"/>
      <c r="E24" s="216"/>
      <c r="F24" s="216"/>
      <c r="G24" s="11">
        <v>17</v>
      </c>
      <c r="H24" s="49">
        <v>510166</v>
      </c>
      <c r="I24" s="49">
        <v>510166</v>
      </c>
      <c r="J24" s="49">
        <v>688226</v>
      </c>
      <c r="K24" s="49">
        <v>688226</v>
      </c>
    </row>
    <row r="25" spans="1:11" ht="12.95" customHeight="1" x14ac:dyDescent="0.2">
      <c r="A25" s="216" t="s">
        <v>108</v>
      </c>
      <c r="B25" s="216"/>
      <c r="C25" s="216"/>
      <c r="D25" s="216"/>
      <c r="E25" s="216"/>
      <c r="F25" s="216"/>
      <c r="G25" s="11">
        <v>18</v>
      </c>
      <c r="H25" s="49">
        <v>47507</v>
      </c>
      <c r="I25" s="49">
        <v>47507</v>
      </c>
      <c r="J25" s="49">
        <v>89828</v>
      </c>
      <c r="K25" s="49">
        <v>89828</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0</v>
      </c>
      <c r="I29" s="48">
        <f>SUM(I30:I35)</f>
        <v>0</v>
      </c>
      <c r="J29" s="48">
        <f>SUM(J30:J35)</f>
        <v>0</v>
      </c>
      <c r="K29" s="48">
        <f>SUM(K30:K35)</f>
        <v>0</v>
      </c>
    </row>
    <row r="30" spans="1:11" ht="12.95" customHeight="1" x14ac:dyDescent="0.2">
      <c r="A30" s="250" t="s">
        <v>124</v>
      </c>
      <c r="B30" s="250"/>
      <c r="C30" s="250"/>
      <c r="D30" s="250"/>
      <c r="E30" s="250"/>
      <c r="F30" s="250"/>
      <c r="G30" s="11">
        <v>23</v>
      </c>
      <c r="H30" s="49">
        <v>0</v>
      </c>
      <c r="I30" s="49">
        <v>0</v>
      </c>
      <c r="J30" s="49">
        <v>0</v>
      </c>
      <c r="K30" s="49">
        <v>0</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v>14316</v>
      </c>
      <c r="I36" s="49">
        <v>14316</v>
      </c>
      <c r="J36" s="49">
        <v>3215</v>
      </c>
      <c r="K36" s="49">
        <v>3215</v>
      </c>
    </row>
    <row r="37" spans="1:11" ht="12.95" customHeight="1" x14ac:dyDescent="0.2">
      <c r="A37" s="247" t="s">
        <v>358</v>
      </c>
      <c r="B37" s="247"/>
      <c r="C37" s="247"/>
      <c r="D37" s="247"/>
      <c r="E37" s="247"/>
      <c r="F37" s="247"/>
      <c r="G37" s="12">
        <v>30</v>
      </c>
      <c r="H37" s="48">
        <f>SUM(H38:H47)</f>
        <v>273</v>
      </c>
      <c r="I37" s="48">
        <f>SUM(I38:I47)</f>
        <v>273</v>
      </c>
      <c r="J37" s="48">
        <f>SUM(J38:J47)</f>
        <v>7212</v>
      </c>
      <c r="K37" s="48">
        <f>SUM(K38:K47)</f>
        <v>7212</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0</v>
      </c>
      <c r="I43" s="49">
        <v>0</v>
      </c>
      <c r="J43" s="49">
        <v>4689</v>
      </c>
      <c r="K43" s="49">
        <v>4689</v>
      </c>
    </row>
    <row r="44" spans="1:11" ht="12.95" customHeight="1" x14ac:dyDescent="0.2">
      <c r="A44" s="216" t="s">
        <v>136</v>
      </c>
      <c r="B44" s="216"/>
      <c r="C44" s="216"/>
      <c r="D44" s="216"/>
      <c r="E44" s="216"/>
      <c r="F44" s="216"/>
      <c r="G44" s="11">
        <v>37</v>
      </c>
      <c r="H44" s="49">
        <v>273</v>
      </c>
      <c r="I44" s="49">
        <v>273</v>
      </c>
      <c r="J44" s="49">
        <v>2523</v>
      </c>
      <c r="K44" s="49">
        <v>2523</v>
      </c>
    </row>
    <row r="45" spans="1:11" ht="12.95" customHeight="1" x14ac:dyDescent="0.2">
      <c r="A45" s="216" t="s">
        <v>137</v>
      </c>
      <c r="B45" s="216"/>
      <c r="C45" s="216"/>
      <c r="D45" s="216"/>
      <c r="E45" s="216"/>
      <c r="F45" s="216"/>
      <c r="G45" s="11">
        <v>38</v>
      </c>
      <c r="H45" s="49">
        <v>0</v>
      </c>
      <c r="I45" s="49">
        <v>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74484</v>
      </c>
      <c r="I48" s="48">
        <f>SUM(I49:I55)</f>
        <v>74484</v>
      </c>
      <c r="J48" s="48">
        <f>SUM(J49:J55)</f>
        <v>141416</v>
      </c>
      <c r="K48" s="48">
        <f>SUM(K49:K55)</f>
        <v>141416</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v>74484</v>
      </c>
      <c r="I51" s="49">
        <v>74484</v>
      </c>
      <c r="J51" s="49">
        <v>141416</v>
      </c>
      <c r="K51" s="49">
        <v>141416</v>
      </c>
    </row>
    <row r="52" spans="1:11" ht="12.95" customHeight="1" x14ac:dyDescent="0.2">
      <c r="A52" s="240" t="s">
        <v>143</v>
      </c>
      <c r="B52" s="240"/>
      <c r="C52" s="240"/>
      <c r="D52" s="240"/>
      <c r="E52" s="240"/>
      <c r="F52" s="240"/>
      <c r="G52" s="11">
        <v>45</v>
      </c>
      <c r="H52" s="49">
        <v>0</v>
      </c>
      <c r="I52" s="49">
        <v>0</v>
      </c>
      <c r="J52" s="49">
        <v>0</v>
      </c>
      <c r="K52" s="49">
        <v>0</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0</v>
      </c>
      <c r="I55" s="49">
        <v>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995367</v>
      </c>
      <c r="I60" s="48">
        <f t="shared" ref="I60:K60" si="0">I8+I37+I56+I57</f>
        <v>995367</v>
      </c>
      <c r="J60" s="48">
        <f t="shared" si="0"/>
        <v>529279</v>
      </c>
      <c r="K60" s="48">
        <f t="shared" si="0"/>
        <v>529279</v>
      </c>
    </row>
    <row r="61" spans="1:11" ht="12.95" customHeight="1" x14ac:dyDescent="0.2">
      <c r="A61" s="247" t="s">
        <v>361</v>
      </c>
      <c r="B61" s="247"/>
      <c r="C61" s="247"/>
      <c r="D61" s="247"/>
      <c r="E61" s="247"/>
      <c r="F61" s="247"/>
      <c r="G61" s="12">
        <v>54</v>
      </c>
      <c r="H61" s="48">
        <f>H14+H48+H58+H59</f>
        <v>1448674</v>
      </c>
      <c r="I61" s="48">
        <f t="shared" ref="I61:K61" si="1">I14+I48+I58+I59</f>
        <v>1448674</v>
      </c>
      <c r="J61" s="48">
        <f t="shared" si="1"/>
        <v>1837514</v>
      </c>
      <c r="K61" s="48">
        <f t="shared" si="1"/>
        <v>1837514</v>
      </c>
    </row>
    <row r="62" spans="1:11" ht="12.95" customHeight="1" x14ac:dyDescent="0.2">
      <c r="A62" s="247" t="s">
        <v>362</v>
      </c>
      <c r="B62" s="247"/>
      <c r="C62" s="247"/>
      <c r="D62" s="247"/>
      <c r="E62" s="247"/>
      <c r="F62" s="247"/>
      <c r="G62" s="12">
        <v>55</v>
      </c>
      <c r="H62" s="48">
        <f>H60-H61</f>
        <v>-453307</v>
      </c>
      <c r="I62" s="48">
        <f t="shared" ref="I62:K62" si="2">I60-I61</f>
        <v>-453307</v>
      </c>
      <c r="J62" s="48">
        <f t="shared" si="2"/>
        <v>-1308235</v>
      </c>
      <c r="K62" s="48">
        <f t="shared" si="2"/>
        <v>-1308235</v>
      </c>
    </row>
    <row r="63" spans="1:11" ht="12.95" customHeight="1" x14ac:dyDescent="0.2">
      <c r="A63" s="248" t="s">
        <v>363</v>
      </c>
      <c r="B63" s="248"/>
      <c r="C63" s="248"/>
      <c r="D63" s="248"/>
      <c r="E63" s="248"/>
      <c r="F63" s="248"/>
      <c r="G63" s="12">
        <v>56</v>
      </c>
      <c r="H63" s="48">
        <f>+IF((H60-H61)&gt;0,(H60-H61),0)</f>
        <v>0</v>
      </c>
      <c r="I63" s="48">
        <f t="shared" ref="I63:K63" si="3">+IF((I60-I61)&gt;0,(I60-I61),0)</f>
        <v>0</v>
      </c>
      <c r="J63" s="48">
        <f t="shared" si="3"/>
        <v>0</v>
      </c>
      <c r="K63" s="48">
        <f t="shared" si="3"/>
        <v>0</v>
      </c>
    </row>
    <row r="64" spans="1:11" ht="12.95" customHeight="1" x14ac:dyDescent="0.2">
      <c r="A64" s="248" t="s">
        <v>364</v>
      </c>
      <c r="B64" s="248"/>
      <c r="C64" s="248"/>
      <c r="D64" s="248"/>
      <c r="E64" s="248"/>
      <c r="F64" s="248"/>
      <c r="G64" s="12">
        <v>57</v>
      </c>
      <c r="H64" s="48">
        <f>+IF((H60-H61)&lt;0,(H60-H61),0)</f>
        <v>-453307</v>
      </c>
      <c r="I64" s="48">
        <f t="shared" ref="I64:K64" si="4">+IF((I60-I61)&lt;0,(I60-I61),0)</f>
        <v>-453307</v>
      </c>
      <c r="J64" s="48">
        <f t="shared" si="4"/>
        <v>-1308235</v>
      </c>
      <c r="K64" s="48">
        <f t="shared" si="4"/>
        <v>-1308235</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-453307</v>
      </c>
      <c r="I66" s="48">
        <f t="shared" ref="I66:K66" si="5">I62-I65</f>
        <v>-453307</v>
      </c>
      <c r="J66" s="48">
        <f t="shared" si="5"/>
        <v>-1308235</v>
      </c>
      <c r="K66" s="48">
        <f t="shared" si="5"/>
        <v>-1308235</v>
      </c>
    </row>
    <row r="67" spans="1:11" ht="12.95" customHeight="1" x14ac:dyDescent="0.2">
      <c r="A67" s="248" t="s">
        <v>366</v>
      </c>
      <c r="B67" s="248"/>
      <c r="C67" s="248"/>
      <c r="D67" s="248"/>
      <c r="E67" s="248"/>
      <c r="F67" s="248"/>
      <c r="G67" s="12">
        <v>60</v>
      </c>
      <c r="H67" s="48">
        <f>+IF((H62-H65)&gt;0,(H62-H65),0)</f>
        <v>0</v>
      </c>
      <c r="I67" s="48">
        <f t="shared" ref="I67:K67" si="6">+IF((I62-I65)&gt;0,(I62-I65),0)</f>
        <v>0</v>
      </c>
      <c r="J67" s="48">
        <f t="shared" si="6"/>
        <v>0</v>
      </c>
      <c r="K67" s="48">
        <f t="shared" si="6"/>
        <v>0</v>
      </c>
    </row>
    <row r="68" spans="1:11" ht="12.95" customHeight="1" x14ac:dyDescent="0.2">
      <c r="A68" s="248" t="s">
        <v>367</v>
      </c>
      <c r="B68" s="248"/>
      <c r="C68" s="248"/>
      <c r="D68" s="248"/>
      <c r="E68" s="248"/>
      <c r="F68" s="248"/>
      <c r="G68" s="12">
        <v>61</v>
      </c>
      <c r="H68" s="48">
        <f>+IF((H62-H65)&lt;0,(H62-H65),0)</f>
        <v>-453307</v>
      </c>
      <c r="I68" s="48">
        <f t="shared" ref="I68:K68" si="7">+IF((I62-I65)&lt;0,(I62-I65),0)</f>
        <v>-453307</v>
      </c>
      <c r="J68" s="48">
        <f t="shared" si="7"/>
        <v>-1308235</v>
      </c>
      <c r="K68" s="48">
        <f t="shared" si="7"/>
        <v>-1308235</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-453307</v>
      </c>
      <c r="I89" s="51">
        <f>+I67+I68</f>
        <v>-453307</v>
      </c>
      <c r="J89" s="51">
        <f>+J67+J68</f>
        <v>-1308235</v>
      </c>
      <c r="K89" s="51">
        <f t="shared" ref="K89" si="14">+K67+K68</f>
        <v>-1308235</v>
      </c>
    </row>
    <row r="90" spans="1:11" ht="24" customHeight="1" x14ac:dyDescent="0.2">
      <c r="A90" s="218" t="s">
        <v>434</v>
      </c>
      <c r="B90" s="218"/>
      <c r="C90" s="218"/>
      <c r="D90" s="218"/>
      <c r="E90" s="218"/>
      <c r="F90" s="218"/>
      <c r="G90" s="12">
        <v>79</v>
      </c>
      <c r="H90" s="68">
        <f>H91+H98</f>
        <v>1175667</v>
      </c>
      <c r="I90" s="68">
        <f>I91+I98</f>
        <v>1175667</v>
      </c>
      <c r="J90" s="68">
        <f t="shared" ref="J90:K90" si="15">J91+J98</f>
        <v>326124</v>
      </c>
      <c r="K90" s="68">
        <f t="shared" si="15"/>
        <v>326124</v>
      </c>
    </row>
    <row r="91" spans="1:11" ht="24" customHeight="1" x14ac:dyDescent="0.2">
      <c r="A91" s="238" t="s">
        <v>441</v>
      </c>
      <c r="B91" s="238"/>
      <c r="C91" s="238"/>
      <c r="D91" s="238"/>
      <c r="E91" s="238"/>
      <c r="F91" s="238"/>
      <c r="G91" s="12">
        <v>80</v>
      </c>
      <c r="H91" s="68">
        <f>SUM(H92:H96)</f>
        <v>1175667</v>
      </c>
      <c r="I91" s="68">
        <f>SUM(I92:I96)</f>
        <v>1175667</v>
      </c>
      <c r="J91" s="68">
        <f t="shared" ref="J91:K91" si="16">SUM(J92:J96)</f>
        <v>326124</v>
      </c>
      <c r="K91" s="68">
        <f t="shared" si="16"/>
        <v>326124</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v>1175667</v>
      </c>
      <c r="I93" s="51">
        <v>1175667</v>
      </c>
      <c r="J93" s="51">
        <v>326124</v>
      </c>
      <c r="K93" s="51">
        <v>326124</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0</v>
      </c>
      <c r="I97" s="51">
        <v>0</v>
      </c>
      <c r="J97" s="51">
        <v>58702</v>
      </c>
      <c r="K97" s="51">
        <v>58702</v>
      </c>
    </row>
    <row r="98" spans="1:11" ht="25.5" customHeight="1" x14ac:dyDescent="0.2">
      <c r="A98" s="238" t="s">
        <v>435</v>
      </c>
      <c r="B98" s="238"/>
      <c r="C98" s="238"/>
      <c r="D98" s="238"/>
      <c r="E98" s="238"/>
      <c r="F98" s="238"/>
      <c r="G98" s="12">
        <v>87</v>
      </c>
      <c r="H98" s="68">
        <f>SUM(H99:H106)</f>
        <v>0</v>
      </c>
      <c r="I98" s="68">
        <f>SUM(I99:I106)</f>
        <v>0</v>
      </c>
      <c r="J98" s="68">
        <f t="shared" ref="J98:K98" si="17">SUM(J99:J106)</f>
        <v>0</v>
      </c>
      <c r="K98" s="68">
        <f t="shared" si="17"/>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1175667</v>
      </c>
      <c r="I108" s="68">
        <f>I91+I98-I107-I97</f>
        <v>1175667</v>
      </c>
      <c r="J108" s="68">
        <f t="shared" ref="J108:K108" si="18">J91+J98-J107-J97</f>
        <v>267422</v>
      </c>
      <c r="K108" s="68">
        <f t="shared" si="18"/>
        <v>267422</v>
      </c>
    </row>
    <row r="109" spans="1:11" ht="12.95" customHeight="1" x14ac:dyDescent="0.2">
      <c r="A109" s="218" t="s">
        <v>390</v>
      </c>
      <c r="B109" s="218"/>
      <c r="C109" s="218"/>
      <c r="D109" s="218"/>
      <c r="E109" s="218"/>
      <c r="F109" s="218"/>
      <c r="G109" s="12">
        <v>98</v>
      </c>
      <c r="H109" s="50">
        <f>H89+H108</f>
        <v>722360</v>
      </c>
      <c r="I109" s="50">
        <f>I89+I108</f>
        <v>722360</v>
      </c>
      <c r="J109" s="50">
        <f t="shared" ref="J109:K109" si="19">J89+J108</f>
        <v>-1040813</v>
      </c>
      <c r="K109" s="50">
        <f t="shared" si="19"/>
        <v>-1040813</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0</v>
      </c>
      <c r="I111" s="50">
        <f>I112+I113</f>
        <v>0</v>
      </c>
      <c r="J111" s="50">
        <f>J112+J113</f>
        <v>0</v>
      </c>
      <c r="K111" s="50">
        <f>K112+K113</f>
        <v>0</v>
      </c>
    </row>
    <row r="112" spans="1:11" ht="12.95" customHeight="1" x14ac:dyDescent="0.2">
      <c r="A112" s="237" t="s">
        <v>112</v>
      </c>
      <c r="B112" s="237"/>
      <c r="C112" s="237"/>
      <c r="D112" s="237"/>
      <c r="E112" s="237"/>
      <c r="F112" s="237"/>
      <c r="G112" s="11">
        <v>100</v>
      </c>
      <c r="H112" s="51">
        <v>0</v>
      </c>
      <c r="I112" s="51">
        <v>0</v>
      </c>
      <c r="J112" s="51">
        <v>0</v>
      </c>
      <c r="K112" s="51">
        <v>0</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2" zoomScale="85" zoomScaleNormal="100" zoomScaleSheetLayoutView="85" workbookViewId="0">
      <selection activeCell="L20" sqref="L2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463</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C4" zoomScaleNormal="100" zoomScaleSheetLayoutView="100" workbookViewId="0">
      <selection activeCell="N51" sqref="N5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465</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463</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f>4350+34681+3712+6220+1083521-84191</f>
        <v>1048293</v>
      </c>
      <c r="I8" s="23">
        <f>904248+47661-161</f>
        <v>951748</v>
      </c>
    </row>
    <row r="9" spans="1:9" x14ac:dyDescent="0.2">
      <c r="A9" s="279" t="s">
        <v>221</v>
      </c>
      <c r="B9" s="279"/>
      <c r="C9" s="279"/>
      <c r="D9" s="279"/>
      <c r="E9" s="279"/>
      <c r="F9" s="279"/>
      <c r="G9" s="17">
        <v>2</v>
      </c>
      <c r="H9" s="24">
        <v>0</v>
      </c>
      <c r="I9" s="24">
        <v>161</v>
      </c>
    </row>
    <row r="10" spans="1:9" x14ac:dyDescent="0.2">
      <c r="A10" s="279" t="s">
        <v>222</v>
      </c>
      <c r="B10" s="279"/>
      <c r="C10" s="279"/>
      <c r="D10" s="279"/>
      <c r="E10" s="279"/>
      <c r="F10" s="279"/>
      <c r="G10" s="17">
        <v>3</v>
      </c>
      <c r="H10" s="24">
        <v>2924</v>
      </c>
      <c r="I10" s="24">
        <v>0</v>
      </c>
    </row>
    <row r="11" spans="1:9" x14ac:dyDescent="0.2">
      <c r="A11" s="279" t="s">
        <v>223</v>
      </c>
      <c r="B11" s="279"/>
      <c r="C11" s="279"/>
      <c r="D11" s="279"/>
      <c r="E11" s="279"/>
      <c r="F11" s="279"/>
      <c r="G11" s="17">
        <v>4</v>
      </c>
      <c r="H11" s="24">
        <f>94179+41108</f>
        <v>135287</v>
      </c>
      <c r="I11" s="24">
        <f>323418</f>
        <v>323418</v>
      </c>
    </row>
    <row r="12" spans="1:9" x14ac:dyDescent="0.2">
      <c r="A12" s="279" t="s">
        <v>392</v>
      </c>
      <c r="B12" s="279"/>
      <c r="C12" s="279"/>
      <c r="D12" s="279"/>
      <c r="E12" s="279"/>
      <c r="F12" s="279"/>
      <c r="G12" s="17">
        <v>5</v>
      </c>
      <c r="H12" s="24">
        <f>308+54034+84191</f>
        <v>138533</v>
      </c>
      <c r="I12" s="24">
        <v>540</v>
      </c>
    </row>
    <row r="13" spans="1:9" x14ac:dyDescent="0.2">
      <c r="A13" s="280" t="s">
        <v>393</v>
      </c>
      <c r="B13" s="280"/>
      <c r="C13" s="280"/>
      <c r="D13" s="280"/>
      <c r="E13" s="280"/>
      <c r="F13" s="280"/>
      <c r="G13" s="52">
        <v>6</v>
      </c>
      <c r="H13" s="55">
        <f>SUM(H8:H12)</f>
        <v>1325037</v>
      </c>
      <c r="I13" s="55">
        <f>SUM(I8:I12)</f>
        <v>1275867</v>
      </c>
    </row>
    <row r="14" spans="1:9" ht="12.95" customHeight="1" x14ac:dyDescent="0.2">
      <c r="A14" s="279" t="s">
        <v>394</v>
      </c>
      <c r="B14" s="279"/>
      <c r="C14" s="279"/>
      <c r="D14" s="279"/>
      <c r="E14" s="279"/>
      <c r="F14" s="279"/>
      <c r="G14" s="17">
        <v>7</v>
      </c>
      <c r="H14" s="24">
        <f>-382817-50111-47368</f>
        <v>-480296</v>
      </c>
      <c r="I14" s="24">
        <f>-1173250+632242</f>
        <v>-541008</v>
      </c>
    </row>
    <row r="15" spans="1:9" ht="12.95" customHeight="1" x14ac:dyDescent="0.2">
      <c r="A15" s="279" t="s">
        <v>395</v>
      </c>
      <c r="B15" s="279"/>
      <c r="C15" s="279"/>
      <c r="D15" s="279"/>
      <c r="E15" s="279"/>
      <c r="F15" s="279"/>
      <c r="G15" s="17">
        <v>8</v>
      </c>
      <c r="H15" s="24">
        <f>-106182-13826</f>
        <v>-120008</v>
      </c>
      <c r="I15" s="24">
        <v>-147196</v>
      </c>
    </row>
    <row r="16" spans="1:9" ht="12.95" customHeight="1" x14ac:dyDescent="0.2">
      <c r="A16" s="279" t="s">
        <v>396</v>
      </c>
      <c r="B16" s="279"/>
      <c r="C16" s="279"/>
      <c r="D16" s="279"/>
      <c r="E16" s="279"/>
      <c r="F16" s="279"/>
      <c r="G16" s="17">
        <v>9</v>
      </c>
      <c r="H16" s="24">
        <v>0</v>
      </c>
      <c r="I16" s="24">
        <v>0</v>
      </c>
    </row>
    <row r="17" spans="1:9" ht="12.95" customHeight="1" x14ac:dyDescent="0.2">
      <c r="A17" s="279" t="s">
        <v>397</v>
      </c>
      <c r="B17" s="279"/>
      <c r="C17" s="279"/>
      <c r="D17" s="279"/>
      <c r="E17" s="279"/>
      <c r="F17" s="279"/>
      <c r="G17" s="17">
        <v>10</v>
      </c>
      <c r="H17" s="24">
        <f>-491-7677-66993</f>
        <v>-75161</v>
      </c>
      <c r="I17" s="24">
        <f>-112083-2315</f>
        <v>-114398</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f>-4500-27600-58653-5336-6398</f>
        <v>-102487</v>
      </c>
      <c r="I19" s="24">
        <f>-2600-6789-80632</f>
        <v>-90021</v>
      </c>
    </row>
    <row r="20" spans="1:9" ht="26.25" customHeight="1" x14ac:dyDescent="0.2">
      <c r="A20" s="280" t="s">
        <v>400</v>
      </c>
      <c r="B20" s="280"/>
      <c r="C20" s="280"/>
      <c r="D20" s="280"/>
      <c r="E20" s="280"/>
      <c r="F20" s="280"/>
      <c r="G20" s="52">
        <v>13</v>
      </c>
      <c r="H20" s="55">
        <f>SUM(H14:H19)</f>
        <v>-777952</v>
      </c>
      <c r="I20" s="55">
        <f>SUM(I14:I19)</f>
        <v>-892623</v>
      </c>
    </row>
    <row r="21" spans="1:9" ht="27.6" customHeight="1" x14ac:dyDescent="0.2">
      <c r="A21" s="291" t="s">
        <v>401</v>
      </c>
      <c r="B21" s="291"/>
      <c r="C21" s="291"/>
      <c r="D21" s="291"/>
      <c r="E21" s="291"/>
      <c r="F21" s="291"/>
      <c r="G21" s="53">
        <v>14</v>
      </c>
      <c r="H21" s="25">
        <f>H13+H20</f>
        <v>547085</v>
      </c>
      <c r="I21" s="25">
        <f>I13+I20</f>
        <v>383244</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0</v>
      </c>
      <c r="I23" s="23">
        <v>0</v>
      </c>
    </row>
    <row r="24" spans="1:9" ht="12.95" customHeight="1" x14ac:dyDescent="0.2">
      <c r="A24" s="279" t="s">
        <v>225</v>
      </c>
      <c r="B24" s="279"/>
      <c r="C24" s="279"/>
      <c r="D24" s="279"/>
      <c r="E24" s="279"/>
      <c r="F24" s="279"/>
      <c r="G24" s="16">
        <v>16</v>
      </c>
      <c r="H24" s="24">
        <v>0</v>
      </c>
      <c r="I24" s="24">
        <v>0</v>
      </c>
    </row>
    <row r="25" spans="1:9" ht="12.95" customHeight="1" x14ac:dyDescent="0.2">
      <c r="A25" s="279" t="s">
        <v>226</v>
      </c>
      <c r="B25" s="279"/>
      <c r="C25" s="279"/>
      <c r="D25" s="279"/>
      <c r="E25" s="279"/>
      <c r="F25" s="279"/>
      <c r="G25" s="16">
        <v>17</v>
      </c>
      <c r="H25" s="24">
        <f>19+273</f>
        <v>292</v>
      </c>
      <c r="I25" s="24">
        <v>22423</v>
      </c>
    </row>
    <row r="26" spans="1:9" ht="12.95" customHeight="1" x14ac:dyDescent="0.2">
      <c r="A26" s="279" t="s">
        <v>227</v>
      </c>
      <c r="B26" s="279"/>
      <c r="C26" s="279"/>
      <c r="D26" s="279"/>
      <c r="E26" s="279"/>
      <c r="F26" s="279"/>
      <c r="G26" s="16">
        <v>18</v>
      </c>
      <c r="H26" s="24">
        <v>0</v>
      </c>
      <c r="I26" s="24">
        <v>4689</v>
      </c>
    </row>
    <row r="27" spans="1:9" ht="12.95" customHeight="1" x14ac:dyDescent="0.2">
      <c r="A27" s="279" t="s">
        <v>228</v>
      </c>
      <c r="B27" s="279"/>
      <c r="C27" s="279"/>
      <c r="D27" s="279"/>
      <c r="E27" s="279"/>
      <c r="F27" s="279"/>
      <c r="G27" s="16">
        <v>19</v>
      </c>
      <c r="H27" s="24">
        <f>4333+1077509+4467</f>
        <v>1086309</v>
      </c>
      <c r="I27" s="24">
        <f>2006000</f>
        <v>2006000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1086601</v>
      </c>
      <c r="I29" s="56">
        <f>SUM(I23:I28)</f>
        <v>2033112</v>
      </c>
    </row>
    <row r="30" spans="1:9" ht="27.2" customHeight="1" x14ac:dyDescent="0.2">
      <c r="A30" s="279" t="s">
        <v>230</v>
      </c>
      <c r="B30" s="279"/>
      <c r="C30" s="279"/>
      <c r="D30" s="279"/>
      <c r="E30" s="279"/>
      <c r="F30" s="279"/>
      <c r="G30" s="17">
        <v>22</v>
      </c>
      <c r="H30" s="24">
        <v>-4350790</v>
      </c>
      <c r="I30" s="24">
        <f>-1408679-632242</f>
        <v>-2040921</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f>-506000-1223162</f>
        <v>-1729162</v>
      </c>
      <c r="I32" s="24">
        <v>-500000</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-6079952</v>
      </c>
      <c r="I35" s="56">
        <f>SUM(I30:I34)</f>
        <v>-2540921</v>
      </c>
    </row>
    <row r="36" spans="1:9" ht="28.15" customHeight="1" x14ac:dyDescent="0.2">
      <c r="A36" s="291" t="s">
        <v>405</v>
      </c>
      <c r="B36" s="291"/>
      <c r="C36" s="291"/>
      <c r="D36" s="291"/>
      <c r="E36" s="291"/>
      <c r="F36" s="291"/>
      <c r="G36" s="53">
        <v>28</v>
      </c>
      <c r="H36" s="57">
        <f>H29+H35</f>
        <v>-4993351</v>
      </c>
      <c r="I36" s="57">
        <f>I29+I35</f>
        <v>-507809</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3673740</v>
      </c>
      <c r="I40" s="24">
        <v>250000</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3673740</v>
      </c>
      <c r="I42" s="56">
        <f>I41+I40+I39+I38</f>
        <v>250000</v>
      </c>
    </row>
    <row r="43" spans="1:9" ht="24.6" customHeight="1" x14ac:dyDescent="0.2">
      <c r="A43" s="284" t="s">
        <v>238</v>
      </c>
      <c r="B43" s="284"/>
      <c r="C43" s="284"/>
      <c r="D43" s="284"/>
      <c r="E43" s="284"/>
      <c r="F43" s="284"/>
      <c r="G43" s="17">
        <v>34</v>
      </c>
      <c r="H43" s="24">
        <f>-129543-66361-129543</f>
        <v>-325447</v>
      </c>
      <c r="I43" s="24">
        <v>-146057</v>
      </c>
    </row>
    <row r="44" spans="1:9" ht="12.95" customHeight="1" x14ac:dyDescent="0.2">
      <c r="A44" s="284" t="s">
        <v>239</v>
      </c>
      <c r="B44" s="284"/>
      <c r="C44" s="284"/>
      <c r="D44" s="284"/>
      <c r="E44" s="284"/>
      <c r="F44" s="284"/>
      <c r="G44" s="17">
        <v>35</v>
      </c>
      <c r="H44" s="24">
        <v>0</v>
      </c>
      <c r="I44" s="24">
        <v>0</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0</v>
      </c>
      <c r="I46" s="24">
        <v>0</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-325447</v>
      </c>
      <c r="I48" s="56">
        <f>I47+I46+I45+I44+I43</f>
        <v>-146057</v>
      </c>
    </row>
    <row r="49" spans="1:9" ht="25.9" customHeight="1" x14ac:dyDescent="0.2">
      <c r="A49" s="286" t="s">
        <v>442</v>
      </c>
      <c r="B49" s="286"/>
      <c r="C49" s="286"/>
      <c r="D49" s="286"/>
      <c r="E49" s="286"/>
      <c r="F49" s="286"/>
      <c r="G49" s="52">
        <v>40</v>
      </c>
      <c r="H49" s="56">
        <f>H48+H42</f>
        <v>3348293</v>
      </c>
      <c r="I49" s="56">
        <f>I48+I42</f>
        <v>103943</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-1097973</v>
      </c>
      <c r="I51" s="56">
        <f>I21+I36+I49+I50</f>
        <v>-20622</v>
      </c>
    </row>
    <row r="52" spans="1:9" ht="12.95" customHeight="1" x14ac:dyDescent="0.2">
      <c r="A52" s="290" t="s">
        <v>217</v>
      </c>
      <c r="B52" s="290"/>
      <c r="C52" s="290"/>
      <c r="D52" s="290"/>
      <c r="E52" s="290"/>
      <c r="F52" s="290"/>
      <c r="G52" s="17">
        <v>43</v>
      </c>
      <c r="H52" s="24">
        <v>1905954</v>
      </c>
      <c r="I52" s="24">
        <v>660839</v>
      </c>
    </row>
    <row r="53" spans="1:9" ht="32.1" customHeight="1" x14ac:dyDescent="0.2">
      <c r="A53" s="283" t="s">
        <v>409</v>
      </c>
      <c r="B53" s="283"/>
      <c r="C53" s="283"/>
      <c r="D53" s="283"/>
      <c r="E53" s="283"/>
      <c r="F53" s="283"/>
      <c r="G53" s="54">
        <v>44</v>
      </c>
      <c r="H53" s="58">
        <f>H52+H51</f>
        <v>807981</v>
      </c>
      <c r="I53" s="58">
        <f>I52+I51</f>
        <v>640217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S14" sqref="S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45382</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5553453.4100000001</v>
      </c>
      <c r="V7" s="33">
        <v>0</v>
      </c>
      <c r="W7" s="34">
        <f>H7+I7+J7+K7-L7+M7+N7+O7+P7+Q7+R7+U7+V7+S7+T7</f>
        <v>29160517.189999998</v>
      </c>
      <c r="X7" s="33">
        <v>0</v>
      </c>
      <c r="Y7" s="34">
        <f>W7+X7</f>
        <v>29160517.189999998</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-1308235</v>
      </c>
      <c r="W40" s="37">
        <f t="shared" ref="W40:W58" si="15">H40+I40+J40+K40-L40+M40+N40+O40+P40+Q40+R40+U40+V40+S40+T40</f>
        <v>-1308235</v>
      </c>
      <c r="X40" s="33">
        <v>0</v>
      </c>
      <c r="Y40" s="37">
        <f t="shared" ref="Y40:Y58" si="16">W40+X40</f>
        <v>-1308235</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267422</v>
      </c>
      <c r="Q43" s="35">
        <v>0</v>
      </c>
      <c r="R43" s="35">
        <v>0</v>
      </c>
      <c r="S43" s="33">
        <v>0</v>
      </c>
      <c r="T43" s="33">
        <v>0</v>
      </c>
      <c r="U43" s="33">
        <v>0</v>
      </c>
      <c r="V43" s="33">
        <v>0</v>
      </c>
      <c r="W43" s="37">
        <f t="shared" si="15"/>
        <v>267422</v>
      </c>
      <c r="X43" s="33">
        <v>0</v>
      </c>
      <c r="Y43" s="37">
        <f t="shared" si="16"/>
        <v>267422</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2281359</v>
      </c>
      <c r="Q59" s="36">
        <f t="shared" si="17"/>
        <v>0</v>
      </c>
      <c r="R59" s="36">
        <f t="shared" si="17"/>
        <v>0</v>
      </c>
      <c r="S59" s="36">
        <f t="shared" si="17"/>
        <v>0</v>
      </c>
      <c r="T59" s="36">
        <f t="shared" si="17"/>
        <v>0</v>
      </c>
      <c r="U59" s="36">
        <f t="shared" si="17"/>
        <v>8951261</v>
      </c>
      <c r="V59" s="36">
        <f t="shared" si="17"/>
        <v>-1308235</v>
      </c>
      <c r="W59" s="36">
        <f t="shared" si="17"/>
        <v>36171135</v>
      </c>
      <c r="X59" s="36">
        <f t="shared" si="17"/>
        <v>0</v>
      </c>
      <c r="Y59" s="36">
        <f t="shared" si="17"/>
        <v>36171135</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267422</v>
      </c>
      <c r="Q61" s="37">
        <f t="shared" si="18"/>
        <v>0</v>
      </c>
      <c r="R61" s="37">
        <f t="shared" si="18"/>
        <v>0</v>
      </c>
      <c r="S61" s="37">
        <f t="shared" ref="S61:T61" si="19">SUM(S41:S49)</f>
        <v>0</v>
      </c>
      <c r="T61" s="37">
        <f t="shared" si="19"/>
        <v>0</v>
      </c>
      <c r="U61" s="37">
        <f t="shared" si="18"/>
        <v>0</v>
      </c>
      <c r="V61" s="37">
        <f t="shared" si="18"/>
        <v>0</v>
      </c>
      <c r="W61" s="37">
        <f t="shared" si="18"/>
        <v>267422</v>
      </c>
      <c r="X61" s="37">
        <f t="shared" si="18"/>
        <v>0</v>
      </c>
      <c r="Y61" s="37">
        <f t="shared" si="18"/>
        <v>267422</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267422</v>
      </c>
      <c r="Q62" s="37">
        <f t="shared" si="20"/>
        <v>0</v>
      </c>
      <c r="R62" s="37">
        <f t="shared" si="20"/>
        <v>0</v>
      </c>
      <c r="S62" s="37">
        <f t="shared" ref="S62:T62" si="21">S40+S61</f>
        <v>0</v>
      </c>
      <c r="T62" s="37">
        <f t="shared" si="21"/>
        <v>0</v>
      </c>
      <c r="U62" s="37">
        <f t="shared" si="20"/>
        <v>0</v>
      </c>
      <c r="V62" s="37">
        <f t="shared" si="20"/>
        <v>-1308235</v>
      </c>
      <c r="W62" s="37">
        <f t="shared" si="20"/>
        <v>-1040813</v>
      </c>
      <c r="X62" s="37">
        <f t="shared" si="20"/>
        <v>0</v>
      </c>
      <c r="Y62" s="37">
        <f t="shared" si="20"/>
        <v>-1040813</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13"/>
  <sheetViews>
    <sheetView topLeftCell="A97" zoomScaleNormal="100" workbookViewId="0">
      <selection activeCell="D117" sqref="D117"/>
    </sheetView>
  </sheetViews>
  <sheetFormatPr defaultRowHeight="12.75" x14ac:dyDescent="0.2"/>
  <cols>
    <col min="3" max="3" width="12.85546875" customWidth="1"/>
    <col min="9" max="9" width="95" customWidth="1"/>
  </cols>
  <sheetData>
    <row r="1" spans="1:9" ht="12.95" customHeight="1" x14ac:dyDescent="0.2">
      <c r="A1" s="329" t="s">
        <v>464</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ht="185.25" customHeight="1" x14ac:dyDescent="0.2">
      <c r="A39" s="330"/>
      <c r="B39" s="330"/>
      <c r="C39" s="330"/>
      <c r="D39" s="330"/>
      <c r="E39" s="330"/>
      <c r="F39" s="330"/>
      <c r="G39" s="330"/>
      <c r="H39" s="330"/>
      <c r="I39" s="330"/>
    </row>
    <row r="40" spans="1:9" ht="229.5" customHeight="1" x14ac:dyDescent="0.2">
      <c r="A40" s="330"/>
      <c r="B40" s="330"/>
      <c r="C40" s="330"/>
      <c r="D40" s="330"/>
      <c r="E40" s="330"/>
      <c r="F40" s="330"/>
      <c r="G40" s="330"/>
      <c r="H40" s="330"/>
      <c r="I40" s="330"/>
    </row>
    <row r="41" spans="1:9" ht="26.25" customHeight="1" x14ac:dyDescent="0.2">
      <c r="A41" s="329" t="s">
        <v>536</v>
      </c>
      <c r="B41" s="329"/>
      <c r="C41" s="329"/>
      <c r="D41" s="329"/>
      <c r="E41" s="329"/>
      <c r="F41" s="329"/>
      <c r="G41" s="329"/>
      <c r="H41" s="329"/>
      <c r="I41" s="329"/>
    </row>
    <row r="42" spans="1:9" x14ac:dyDescent="0.2">
      <c r="A42" s="329"/>
      <c r="B42" s="329"/>
      <c r="C42" s="329"/>
      <c r="D42" s="329"/>
      <c r="E42" s="329"/>
      <c r="F42" s="329"/>
      <c r="G42" s="329"/>
      <c r="H42" s="329"/>
      <c r="I42" s="329"/>
    </row>
    <row r="43" spans="1:9" x14ac:dyDescent="0.2">
      <c r="A43" s="329"/>
      <c r="B43" s="330"/>
      <c r="C43" s="330"/>
      <c r="D43" s="330"/>
      <c r="E43" s="330"/>
      <c r="F43" s="330"/>
      <c r="G43" s="330"/>
      <c r="H43" s="330"/>
      <c r="I43" s="330"/>
    </row>
    <row r="44" spans="1:9" x14ac:dyDescent="0.2">
      <c r="A44" s="131" t="s">
        <v>466</v>
      </c>
    </row>
    <row r="45" spans="1:9" x14ac:dyDescent="0.2">
      <c r="A45" s="131" t="s">
        <v>467</v>
      </c>
    </row>
    <row r="46" spans="1:9" x14ac:dyDescent="0.2">
      <c r="A46" s="331" t="s">
        <v>468</v>
      </c>
      <c r="B46" s="332"/>
      <c r="C46" s="332"/>
      <c r="D46" s="332"/>
      <c r="E46" s="332"/>
      <c r="F46" s="332"/>
      <c r="G46" s="332"/>
      <c r="H46" s="332"/>
      <c r="I46" s="332"/>
    </row>
    <row r="47" spans="1:9" x14ac:dyDescent="0.2">
      <c r="A47" s="332"/>
      <c r="B47" s="332"/>
      <c r="C47" s="332"/>
      <c r="D47" s="332"/>
      <c r="E47" s="332"/>
      <c r="F47" s="332"/>
      <c r="G47" s="332"/>
      <c r="H47" s="332"/>
      <c r="I47" s="332"/>
    </row>
    <row r="48" spans="1:9" x14ac:dyDescent="0.2">
      <c r="A48" s="131" t="s">
        <v>469</v>
      </c>
    </row>
    <row r="49" spans="1:9" x14ac:dyDescent="0.2">
      <c r="A49" s="132" t="s">
        <v>470</v>
      </c>
    </row>
    <row r="50" spans="1:9" x14ac:dyDescent="0.2">
      <c r="A50" s="131" t="s">
        <v>471</v>
      </c>
    </row>
    <row r="51" spans="1:9" ht="27.75" customHeight="1" x14ac:dyDescent="0.2">
      <c r="A51" s="331" t="s">
        <v>533</v>
      </c>
      <c r="B51" s="331"/>
      <c r="C51" s="331"/>
      <c r="D51" s="331"/>
      <c r="E51" s="331"/>
      <c r="F51" s="331"/>
      <c r="G51" s="331"/>
      <c r="H51" s="331"/>
      <c r="I51" s="331"/>
    </row>
    <row r="52" spans="1:9" x14ac:dyDescent="0.2">
      <c r="A52" s="131" t="s">
        <v>472</v>
      </c>
    </row>
    <row r="53" spans="1:9" x14ac:dyDescent="0.2">
      <c r="A53" s="132" t="s">
        <v>473</v>
      </c>
    </row>
    <row r="54" spans="1:9" x14ac:dyDescent="0.2">
      <c r="A54" s="131" t="s">
        <v>474</v>
      </c>
    </row>
    <row r="55" spans="1:9" ht="30" customHeight="1" x14ac:dyDescent="0.2">
      <c r="A55" s="331" t="s">
        <v>475</v>
      </c>
      <c r="B55" s="331"/>
      <c r="C55" s="331"/>
      <c r="D55" s="331"/>
      <c r="E55" s="331"/>
      <c r="F55" s="331"/>
      <c r="G55" s="331"/>
      <c r="H55" s="331"/>
      <c r="I55" s="331"/>
    </row>
    <row r="56" spans="1:9" x14ac:dyDescent="0.2">
      <c r="A56" s="131" t="s">
        <v>476</v>
      </c>
    </row>
    <row r="57" spans="1:9" x14ac:dyDescent="0.2">
      <c r="A57" s="131" t="s">
        <v>477</v>
      </c>
    </row>
    <row r="58" spans="1:9" x14ac:dyDescent="0.2">
      <c r="A58" s="133" t="s">
        <v>478</v>
      </c>
      <c r="B58" s="134"/>
      <c r="C58" s="333" t="s">
        <v>479</v>
      </c>
      <c r="D58" s="334"/>
      <c r="E58" s="131"/>
    </row>
    <row r="59" spans="1:9" x14ac:dyDescent="0.2">
      <c r="A59" s="135" t="s">
        <v>316</v>
      </c>
      <c r="C59" s="335" t="s">
        <v>480</v>
      </c>
      <c r="D59" s="336"/>
    </row>
    <row r="60" spans="1:9" x14ac:dyDescent="0.2">
      <c r="A60" s="135" t="s">
        <v>481</v>
      </c>
      <c r="C60" s="335" t="s">
        <v>482</v>
      </c>
      <c r="D60" s="336"/>
    </row>
    <row r="61" spans="1:9" x14ac:dyDescent="0.2">
      <c r="A61" s="135" t="s">
        <v>483</v>
      </c>
      <c r="C61" s="335" t="s">
        <v>484</v>
      </c>
      <c r="D61" s="336"/>
    </row>
    <row r="62" spans="1:9" x14ac:dyDescent="0.2">
      <c r="A62" s="135" t="s">
        <v>485</v>
      </c>
      <c r="C62" s="335" t="s">
        <v>486</v>
      </c>
      <c r="D62" s="336"/>
    </row>
    <row r="63" spans="1:9" x14ac:dyDescent="0.2">
      <c r="A63" s="136" t="s">
        <v>487</v>
      </c>
      <c r="B63" s="137"/>
      <c r="C63" s="337" t="s">
        <v>450</v>
      </c>
      <c r="D63" s="338"/>
    </row>
    <row r="65" spans="1:9" x14ac:dyDescent="0.2">
      <c r="A65" s="131" t="s">
        <v>488</v>
      </c>
    </row>
    <row r="66" spans="1:9" ht="53.25" customHeight="1" x14ac:dyDescent="0.2">
      <c r="A66" s="331" t="s">
        <v>535</v>
      </c>
      <c r="B66" s="331"/>
      <c r="C66" s="331"/>
      <c r="D66" s="331"/>
      <c r="E66" s="331"/>
      <c r="F66" s="331"/>
      <c r="G66" s="331"/>
      <c r="H66" s="331"/>
      <c r="I66" s="331"/>
    </row>
    <row r="67" spans="1:9" x14ac:dyDescent="0.2">
      <c r="A67" s="131" t="s">
        <v>489</v>
      </c>
    </row>
    <row r="68" spans="1:9" x14ac:dyDescent="0.2">
      <c r="A68" s="335" t="s">
        <v>534</v>
      </c>
      <c r="B68" s="335"/>
      <c r="C68" s="335"/>
      <c r="D68" s="335"/>
      <c r="E68" s="335"/>
      <c r="F68" s="335"/>
      <c r="G68" s="335"/>
      <c r="H68" s="335"/>
      <c r="I68" s="335"/>
    </row>
    <row r="69" spans="1:9" x14ac:dyDescent="0.2">
      <c r="A69" s="131" t="s">
        <v>490</v>
      </c>
    </row>
    <row r="70" spans="1:9" x14ac:dyDescent="0.2">
      <c r="A70" s="335" t="s">
        <v>491</v>
      </c>
      <c r="B70" s="335"/>
      <c r="C70" s="335"/>
      <c r="D70" s="335"/>
      <c r="E70" s="335"/>
      <c r="F70" s="335"/>
      <c r="G70" s="335"/>
      <c r="H70" s="335"/>
      <c r="I70" s="335"/>
    </row>
    <row r="71" spans="1:9" x14ac:dyDescent="0.2">
      <c r="A71" s="131" t="s">
        <v>492</v>
      </c>
    </row>
    <row r="72" spans="1:9" x14ac:dyDescent="0.2">
      <c r="A72" s="335" t="s">
        <v>493</v>
      </c>
      <c r="B72" s="335"/>
      <c r="C72" s="335"/>
      <c r="D72" s="335"/>
      <c r="E72" s="335"/>
      <c r="F72" s="335"/>
      <c r="G72" s="335"/>
      <c r="H72" s="335"/>
      <c r="I72" s="335"/>
    </row>
    <row r="73" spans="1:9" x14ac:dyDescent="0.2">
      <c r="A73" s="131" t="s">
        <v>494</v>
      </c>
    </row>
    <row r="74" spans="1:9" x14ac:dyDescent="0.2">
      <c r="A74" s="335" t="s">
        <v>495</v>
      </c>
      <c r="B74" s="335"/>
      <c r="C74" s="335"/>
      <c r="D74" s="335"/>
      <c r="E74" s="335"/>
      <c r="F74" s="335"/>
      <c r="G74" s="335"/>
      <c r="H74" s="335"/>
      <c r="I74" s="335"/>
    </row>
    <row r="75" spans="1:9" x14ac:dyDescent="0.2">
      <c r="A75" s="131" t="s">
        <v>496</v>
      </c>
    </row>
    <row r="76" spans="1:9" x14ac:dyDescent="0.2">
      <c r="A76" s="335" t="s">
        <v>497</v>
      </c>
      <c r="B76" s="335"/>
      <c r="C76" s="335"/>
      <c r="D76" s="335"/>
      <c r="E76" s="335"/>
      <c r="F76" s="335"/>
      <c r="G76" s="335"/>
      <c r="H76" s="335"/>
      <c r="I76" s="335"/>
    </row>
    <row r="77" spans="1:9" x14ac:dyDescent="0.2">
      <c r="A77" s="131" t="s">
        <v>498</v>
      </c>
    </row>
    <row r="78" spans="1:9" x14ac:dyDescent="0.2">
      <c r="A78" s="339" t="s">
        <v>499</v>
      </c>
      <c r="B78" s="339"/>
      <c r="C78" s="339"/>
      <c r="D78" s="339"/>
      <c r="E78" s="339"/>
      <c r="F78" s="339"/>
      <c r="G78" s="339"/>
      <c r="H78" s="339"/>
      <c r="I78" s="339"/>
    </row>
    <row r="79" spans="1:9" x14ac:dyDescent="0.2">
      <c r="A79" s="138" t="s">
        <v>500</v>
      </c>
      <c r="B79" s="139"/>
      <c r="C79" s="139"/>
      <c r="D79" s="139"/>
      <c r="E79" s="139"/>
      <c r="F79" s="139"/>
      <c r="G79" s="140"/>
      <c r="H79" s="140"/>
      <c r="I79" s="140"/>
    </row>
    <row r="80" spans="1:9" x14ac:dyDescent="0.2">
      <c r="A80" s="141" t="s">
        <v>501</v>
      </c>
      <c r="B80" s="139"/>
      <c r="C80" s="139"/>
      <c r="D80" s="140"/>
      <c r="E80" s="142">
        <v>442</v>
      </c>
      <c r="F80" s="140"/>
      <c r="G80" s="140"/>
      <c r="H80" s="140"/>
      <c r="I80" s="140"/>
    </row>
    <row r="81" spans="1:9" x14ac:dyDescent="0.2">
      <c r="A81" s="139" t="s">
        <v>502</v>
      </c>
      <c r="B81" s="139"/>
      <c r="C81" s="139"/>
      <c r="D81" s="140"/>
      <c r="E81" s="143">
        <v>0</v>
      </c>
      <c r="F81" s="140"/>
      <c r="G81" s="140"/>
      <c r="H81" s="140"/>
      <c r="I81" s="140"/>
    </row>
    <row r="82" spans="1:9" ht="13.5" thickBot="1" x14ac:dyDescent="0.25">
      <c r="A82" s="139" t="s">
        <v>503</v>
      </c>
      <c r="B82" s="139"/>
      <c r="C82" s="139"/>
      <c r="D82" s="140"/>
      <c r="E82" s="144">
        <v>-59</v>
      </c>
      <c r="F82" s="140"/>
      <c r="G82" s="140"/>
      <c r="H82" s="140"/>
      <c r="I82" s="140"/>
    </row>
    <row r="83" spans="1:9" x14ac:dyDescent="0.2">
      <c r="A83" s="141" t="s">
        <v>504</v>
      </c>
      <c r="B83" s="139"/>
      <c r="C83" s="139"/>
      <c r="D83" s="140"/>
      <c r="E83" s="142">
        <f>+E80-E81-E82</f>
        <v>501</v>
      </c>
      <c r="F83" s="140"/>
      <c r="G83" s="140"/>
      <c r="H83" s="140"/>
      <c r="I83" s="140"/>
    </row>
    <row r="85" spans="1:9" x14ac:dyDescent="0.2">
      <c r="A85" s="131" t="s">
        <v>505</v>
      </c>
    </row>
    <row r="86" spans="1:9" x14ac:dyDescent="0.2">
      <c r="A86" s="340" t="s">
        <v>478</v>
      </c>
      <c r="B86" s="340"/>
      <c r="C86" s="340"/>
      <c r="D86" s="341" t="s">
        <v>506</v>
      </c>
      <c r="E86" s="341"/>
      <c r="F86" s="132"/>
      <c r="G86" s="341" t="s">
        <v>507</v>
      </c>
      <c r="H86" s="341"/>
      <c r="I86" s="132"/>
    </row>
    <row r="87" spans="1:9" x14ac:dyDescent="0.2">
      <c r="A87" s="340" t="s">
        <v>316</v>
      </c>
      <c r="B87" s="340"/>
      <c r="C87" s="340"/>
      <c r="D87" s="341" t="s">
        <v>508</v>
      </c>
      <c r="E87" s="341"/>
      <c r="G87" s="341" t="s">
        <v>508</v>
      </c>
      <c r="H87" s="341"/>
    </row>
    <row r="88" spans="1:9" x14ac:dyDescent="0.2">
      <c r="A88" s="340" t="s">
        <v>509</v>
      </c>
      <c r="B88" s="340"/>
      <c r="C88" s="340"/>
      <c r="D88" s="342">
        <v>167576</v>
      </c>
      <c r="E88" s="342"/>
      <c r="G88" s="342">
        <v>531</v>
      </c>
      <c r="H88" s="342"/>
    </row>
    <row r="89" spans="1:9" x14ac:dyDescent="0.2">
      <c r="A89" s="340" t="s">
        <v>510</v>
      </c>
      <c r="B89" s="340"/>
      <c r="C89" s="340"/>
      <c r="D89" s="342">
        <v>1082062</v>
      </c>
      <c r="E89" s="342"/>
      <c r="G89" s="342">
        <v>54082</v>
      </c>
      <c r="H89" s="342"/>
    </row>
    <row r="90" spans="1:9" x14ac:dyDescent="0.2">
      <c r="A90" s="340" t="s">
        <v>511</v>
      </c>
      <c r="B90" s="340"/>
      <c r="C90" s="340"/>
      <c r="D90" s="342">
        <v>275792</v>
      </c>
      <c r="E90" s="342"/>
      <c r="G90" s="343" t="s">
        <v>512</v>
      </c>
      <c r="H90" s="344"/>
    </row>
    <row r="92" spans="1:9" x14ac:dyDescent="0.2">
      <c r="A92" s="132" t="s">
        <v>513</v>
      </c>
    </row>
    <row r="93" spans="1:9" ht="13.5" thickBot="1" x14ac:dyDescent="0.25">
      <c r="A93" s="145" t="s">
        <v>514</v>
      </c>
      <c r="B93" s="145"/>
      <c r="C93" s="145" t="s">
        <v>515</v>
      </c>
      <c r="D93" s="145"/>
      <c r="E93" s="145" t="s">
        <v>516</v>
      </c>
      <c r="F93" s="145"/>
      <c r="G93" s="145"/>
      <c r="H93" s="145"/>
    </row>
    <row r="94" spans="1:9" x14ac:dyDescent="0.2">
      <c r="A94" s="139" t="s">
        <v>517</v>
      </c>
      <c r="B94" s="139"/>
      <c r="C94" s="146">
        <v>10673027</v>
      </c>
      <c r="D94" s="139"/>
      <c r="E94" s="147">
        <f>15165541/10673027</f>
        <v>1.4209221994847385</v>
      </c>
      <c r="F94" t="s">
        <v>518</v>
      </c>
    </row>
    <row r="96" spans="1:9" x14ac:dyDescent="0.2">
      <c r="A96" s="131" t="s">
        <v>519</v>
      </c>
      <c r="C96" s="131"/>
    </row>
    <row r="97" spans="1:9" x14ac:dyDescent="0.2">
      <c r="A97" s="132" t="s">
        <v>520</v>
      </c>
      <c r="C97" s="132"/>
    </row>
    <row r="98" spans="1:9" x14ac:dyDescent="0.2">
      <c r="A98" s="131" t="s">
        <v>521</v>
      </c>
      <c r="C98" s="131"/>
    </row>
    <row r="99" spans="1:9" x14ac:dyDescent="0.2">
      <c r="A99" s="132" t="s">
        <v>522</v>
      </c>
      <c r="C99" s="132"/>
    </row>
    <row r="100" spans="1:9" x14ac:dyDescent="0.2">
      <c r="A100" s="131" t="s">
        <v>523</v>
      </c>
      <c r="C100" s="131"/>
    </row>
    <row r="101" spans="1:9" x14ac:dyDescent="0.2">
      <c r="A101" s="132" t="s">
        <v>524</v>
      </c>
      <c r="C101" s="132"/>
    </row>
    <row r="102" spans="1:9" x14ac:dyDescent="0.2">
      <c r="A102" s="132" t="s">
        <v>525</v>
      </c>
      <c r="B102" s="132"/>
      <c r="C102" s="132"/>
      <c r="D102" s="132"/>
      <c r="E102" s="132"/>
      <c r="F102" s="132"/>
      <c r="G102" s="132"/>
      <c r="H102" s="132"/>
      <c r="I102" s="132"/>
    </row>
    <row r="103" spans="1:9" x14ac:dyDescent="0.2">
      <c r="A103" s="131" t="s">
        <v>526</v>
      </c>
      <c r="C103" s="132"/>
    </row>
    <row r="104" spans="1:9" x14ac:dyDescent="0.2">
      <c r="A104" s="132" t="s">
        <v>524</v>
      </c>
      <c r="C104" s="132"/>
    </row>
    <row r="105" spans="1:9" x14ac:dyDescent="0.2">
      <c r="A105" s="132" t="s">
        <v>525</v>
      </c>
      <c r="B105" s="132"/>
      <c r="C105" s="132"/>
      <c r="D105" s="132"/>
      <c r="E105" s="132"/>
      <c r="F105" s="132"/>
      <c r="G105" s="132"/>
      <c r="H105" s="132"/>
      <c r="I105" s="132"/>
    </row>
    <row r="106" spans="1:9" x14ac:dyDescent="0.2">
      <c r="A106" s="131" t="s">
        <v>527</v>
      </c>
    </row>
    <row r="107" spans="1:9" x14ac:dyDescent="0.2">
      <c r="A107" s="132" t="s">
        <v>528</v>
      </c>
    </row>
    <row r="108" spans="1:9" x14ac:dyDescent="0.2">
      <c r="A108" s="131" t="s">
        <v>529</v>
      </c>
    </row>
    <row r="109" spans="1:9" x14ac:dyDescent="0.2">
      <c r="A109" s="132" t="s">
        <v>530</v>
      </c>
    </row>
    <row r="110" spans="1:9" x14ac:dyDescent="0.2">
      <c r="A110" s="131" t="s">
        <v>531</v>
      </c>
    </row>
    <row r="111" spans="1:9" x14ac:dyDescent="0.2">
      <c r="A111" s="132" t="s">
        <v>532</v>
      </c>
    </row>
    <row r="113" spans="1:9" ht="30" customHeight="1" x14ac:dyDescent="0.2">
      <c r="A113" s="331" t="s">
        <v>537</v>
      </c>
      <c r="B113" s="331"/>
      <c r="C113" s="331"/>
      <c r="D113" s="331"/>
      <c r="E113" s="331"/>
      <c r="F113" s="331"/>
      <c r="G113" s="331"/>
      <c r="H113" s="331"/>
      <c r="I113" s="331"/>
    </row>
  </sheetData>
  <mergeCells count="36">
    <mergeCell ref="A90:C90"/>
    <mergeCell ref="D90:E90"/>
    <mergeCell ref="G90:H90"/>
    <mergeCell ref="A113:I113"/>
    <mergeCell ref="A88:C88"/>
    <mergeCell ref="D88:E88"/>
    <mergeCell ref="G88:H88"/>
    <mergeCell ref="A89:C89"/>
    <mergeCell ref="D89:E89"/>
    <mergeCell ref="G89:H89"/>
    <mergeCell ref="A86:C86"/>
    <mergeCell ref="D86:E86"/>
    <mergeCell ref="G86:H86"/>
    <mergeCell ref="A87:C87"/>
    <mergeCell ref="D87:E87"/>
    <mergeCell ref="G87:H87"/>
    <mergeCell ref="A70:I70"/>
    <mergeCell ref="A72:I72"/>
    <mergeCell ref="A74:I74"/>
    <mergeCell ref="A76:I76"/>
    <mergeCell ref="A78:I78"/>
    <mergeCell ref="C61:D61"/>
    <mergeCell ref="C62:D62"/>
    <mergeCell ref="C63:D63"/>
    <mergeCell ref="A66:I66"/>
    <mergeCell ref="A68:I68"/>
    <mergeCell ref="A51:I51"/>
    <mergeCell ref="A55:I55"/>
    <mergeCell ref="C58:D58"/>
    <mergeCell ref="C59:D59"/>
    <mergeCell ref="C60:D60"/>
    <mergeCell ref="A1:I40"/>
    <mergeCell ref="A42:I42"/>
    <mergeCell ref="A41:I41"/>
    <mergeCell ref="A43:I43"/>
    <mergeCell ref="A46:I47"/>
  </mergeCells>
  <pageMargins left="0.7" right="0.7" top="0.75" bottom="0.75" header="0.3" footer="0.3"/>
  <pageSetup paperSize="9" scale="7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2025-08-08T13:47:05Z</cp:lastPrinted>
  <dcterms:created xsi:type="dcterms:W3CDTF">2008-10-17T11:51:54Z</dcterms:created>
  <dcterms:modified xsi:type="dcterms:W3CDTF">2025-08-09T11:19:36Z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