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1176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20" i="20"/>
  <c r="I23"/>
  <c r="I123" i="18"/>
  <c r="I121"/>
  <c r="J10" i="19" l="1"/>
  <c r="I54" i="18"/>
  <c r="I56"/>
  <c r="I125" l="1"/>
  <c r="I46"/>
  <c r="I48"/>
  <c r="I109" l="1"/>
  <c r="I129"/>
  <c r="I58"/>
  <c r="I126"/>
  <c r="I132" l="1"/>
  <c r="I73"/>
  <c r="I90"/>
  <c r="I24" l="1"/>
  <c r="I21"/>
  <c r="J51" i="19" l="1"/>
  <c r="J22"/>
  <c r="J21"/>
  <c r="J13"/>
  <c r="I78" i="18" l="1"/>
  <c r="H78"/>
  <c r="H46" i="21" l="1"/>
  <c r="H40"/>
  <c r="H47" s="1"/>
  <c r="H33"/>
  <c r="H34" s="1"/>
  <c r="H27"/>
  <c r="H16"/>
  <c r="H19" s="1"/>
  <c r="H54" i="20"/>
  <c r="H48"/>
  <c r="H41"/>
  <c r="H42" s="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55" i="20" l="1"/>
  <c r="I60" i="19"/>
  <c r="H75" i="18"/>
  <c r="H131" s="1"/>
  <c r="H9"/>
  <c r="H14" i="19"/>
  <c r="H49" i="21"/>
  <c r="H51" s="1"/>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72" l="1"/>
  <c r="I14" i="19"/>
  <c r="I61" s="1"/>
  <c r="K14"/>
  <c r="K61" s="1"/>
  <c r="W61" i="22"/>
  <c r="I34" i="21"/>
  <c r="I49"/>
  <c r="I51" s="1"/>
  <c r="I55" i="20"/>
  <c r="I24"/>
  <c r="I27" s="1"/>
  <c r="J60" i="19"/>
  <c r="I64"/>
  <c r="H61"/>
  <c r="I63"/>
  <c r="I62"/>
  <c r="I68" s="1"/>
  <c r="K60"/>
  <c r="I44" i="18"/>
  <c r="I75"/>
  <c r="I131" s="1"/>
  <c r="I66" i="19"/>
  <c r="H60"/>
  <c r="J14"/>
  <c r="J61" s="1"/>
  <c r="J63" s="1"/>
  <c r="U61" i="22"/>
  <c r="I9" i="18"/>
  <c r="I42" i="20"/>
  <c r="W59" i="22"/>
  <c r="W60" s="1"/>
  <c r="U59"/>
  <c r="U60" s="1"/>
  <c r="W31"/>
  <c r="W32" s="1"/>
  <c r="U31"/>
  <c r="U32" s="1"/>
  <c r="W33"/>
  <c r="U33"/>
  <c r="W38"/>
  <c r="W57" s="1"/>
  <c r="U38"/>
  <c r="U57" s="1"/>
  <c r="W10"/>
  <c r="W29" s="1"/>
  <c r="U10"/>
  <c r="U29" s="1"/>
  <c r="K62" i="19" l="1"/>
  <c r="K66" s="1"/>
  <c r="I72" i="18"/>
  <c r="I57" i="20"/>
  <c r="I59" s="1"/>
  <c r="H64" i="19"/>
  <c r="I67"/>
  <c r="K64"/>
  <c r="K63"/>
  <c r="H62"/>
  <c r="H66" s="1"/>
  <c r="H63"/>
  <c r="J62"/>
  <c r="J66" s="1"/>
  <c r="J64"/>
  <c r="H67"/>
  <c r="K68" l="1"/>
  <c r="K67"/>
  <c r="H68"/>
  <c r="J67"/>
  <c r="J68"/>
</calcChain>
</file>

<file path=xl/sharedStrings.xml><?xml version="1.0" encoding="utf-8"?>
<sst xmlns="http://schemas.openxmlformats.org/spreadsheetml/2006/main" count="521" uniqueCount="459">
  <si>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</si>
  <si>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</si>
  <si>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</si>
  <si>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</si>
  <si>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</si>
  <si>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</si>
  <si>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</si>
  <si>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</si>
  <si>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</si>
  <si>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</si>
  <si>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</si>
  <si>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</si>
  <si>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</si>
  <si>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</si>
  <si>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</si>
  <si>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</si>
  <si>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</si>
  <si>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</si>
  <si>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</si>
  <si>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</si>
  <si>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</si>
  <si>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</si>
  <si>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</si>
  <si>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</si>
  <si>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</si>
  <si>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</si>
  <si>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</si>
  <si>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</si>
  <si>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</si>
  <si>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</si>
  <si>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</si>
  <si>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</si>
  <si>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</si>
  <si>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</si>
  <si>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</si>
  <si>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</si>
  <si>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</si>
  <si>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</si>
  <si>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</si>
  <si>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</si>
  <si>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</si>
  <si>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</si>
  <si>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</si>
  <si>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</si>
  <si>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</si>
  <si>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</si>
  <si>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</si>
  <si>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</si>
  <si>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</si>
  <si>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</si>
  <si>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</si>
  <si>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</si>
  <si>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</si>
  <si>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</si>
  <si>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</si>
  <si>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</si>
  <si>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</si>
  <si>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</si>
  <si>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</si>
  <si>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</si>
  <si>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</si>
  <si>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</si>
  <si>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</si>
  <si>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</si>
  <si>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</si>
  <si>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</si>
  <si>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</si>
  <si>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</si>
  <si>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</si>
  <si>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</si>
  <si>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</si>
  <si>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</si>
  <si>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</si>
  <si>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</si>
  <si>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</si>
  <si>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</si>
  <si>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</si>
  <si>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</si>
  <si>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</si>
  <si>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</si>
  <si>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</si>
  <si>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</si>
  <si>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</si>
  <si>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</si>
  <si>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</si>
  <si>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</si>
  <si>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</si>
  <si>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</si>
  <si>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</si>
  <si>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</si>
  <si>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</si>
  <si>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</si>
  <si>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</si>
  <si>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</si>
  <si>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</si>
  <si>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</si>
  <si>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</si>
  <si>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</si>
  <si>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</si>
  <si>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</si>
  <si>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</si>
  <si>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</si>
  <si>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</si>
  <si>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</si>
  <si>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</si>
  <si>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</si>
  <si>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</si>
  <si>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</si>
  <si>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</si>
  <si>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</si>
  <si>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</si>
  <si>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</si>
  <si>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</si>
  <si>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</si>
  <si>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</si>
  <si>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</si>
  <si>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</si>
  <si>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</si>
  <si>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</si>
  <si>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</si>
  <si>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</si>
  <si>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</si>
  <si>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</si>
  <si>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</si>
  <si>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</si>
  <si>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</si>
  <si>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</si>
  <si>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</si>
  <si>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</si>
  <si>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</si>
  <si>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</si>
  <si>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</si>
  <si>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</si>
  <si>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</si>
  <si>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</si>
  <si>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</si>
  <si>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</si>
  <si>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</si>
  <si>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</si>
  <si>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</si>
  <si>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</si>
  <si>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</si>
  <si>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</si>
  <si>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</si>
  <si>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</si>
  <si>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</si>
  <si>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</si>
  <si>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</si>
  <si>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</si>
  <si>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</si>
  <si>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</si>
  <si>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</si>
  <si>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</si>
  <si>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</si>
  <si>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</si>
  <si>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</si>
  <si>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</si>
  <si>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</si>
  <si>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</si>
  <si>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</si>
  <si>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</si>
  <si>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</si>
  <si>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</si>
  <si>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</si>
  <si>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</si>
  <si>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</si>
  <si>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</si>
  <si>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</si>
  <si>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</si>
  <si>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</si>
  <si>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</si>
  <si>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</si>
  <si>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</si>
  <si>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</si>
  <si>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</si>
  <si>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</si>
  <si>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</si>
  <si>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</si>
  <si>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</si>
  <si>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</si>
  <si>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</si>
  <si>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</si>
  <si>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</si>
  <si>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</si>
  <si>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</si>
  <si>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</si>
  <si>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</si>
  <si>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</si>
  <si>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</si>
  <si>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</si>
  <si>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</si>
  <si>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</si>
  <si>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</si>
  <si>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</si>
  <si>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</si>
  <si>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</si>
  <si>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</si>
  <si>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</si>
  <si>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</si>
  <si>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</si>
  <si>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</si>
  <si>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</si>
  <si>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</si>
  <si>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</si>
  <si>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</si>
  <si>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</si>
  <si>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</si>
  <si>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</si>
  <si>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</si>
  <si>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</si>
  <si>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</si>
  <si>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</si>
  <si>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</si>
  <si>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</si>
  <si>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</si>
  <si>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</si>
  <si>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</si>
  <si>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</si>
  <si>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</si>
  <si>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</si>
  <si>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</si>
  <si>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</si>
  <si>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</si>
  <si>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</si>
  <si>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</si>
  <si>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</si>
  <si>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</si>
  <si>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</si>
  <si>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</si>
  <si>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</si>
  <si>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</si>
  <si>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</si>
  <si>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</si>
  <si>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</si>
  <si>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</si>
  <si>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</si>
  <si>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</si>
  <si>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</si>
  <si>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</si>
  <si>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</si>
  <si>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</si>
  <si>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</si>
  <si>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</si>
  <si>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</si>
  <si>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</si>
  <si>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</si>
  <si>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</si>
  <si>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</si>
  <si>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</si>
  <si>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</si>
  <si>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</si>
  <si>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</si>
  <si>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</si>
  <si>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</si>
  <si>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</si>
  <si>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</si>
  <si>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</si>
  <si>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</si>
  <si>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</si>
  <si>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</si>
  <si>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</si>
  <si>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</si>
  <si>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</si>
  <si>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</si>
  <si>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</si>
  <si>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</si>
  <si>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</si>
  <si>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</si>
  <si>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</si>
  <si>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</si>
  <si>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</si>
  <si>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</si>
  <si>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</si>
  <si>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</si>
  <si>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</si>
  <si>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</si>
  <si>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</si>
  <si>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</si>
  <si>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</si>
  <si>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</si>
  <si>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</si>
  <si>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</si>
  <si>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</si>
  <si>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</si>
  <si>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</si>
  <si>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</si>
  <si>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</si>
  <si>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</si>
  <si>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</si>
  <si>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</si>
  <si>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</si>
  <si>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</si>
  <si>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</si>
  <si>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</si>
  <si>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</si>
  <si>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</si>
  <si>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</si>
  <si>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</si>
  <si>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</si>
  <si>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</si>
  <si>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</si>
  <si>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</si>
  <si>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</si>
  <si>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</si>
  <si>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</si>
  <si>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</si>
  <si>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</si>
  <si>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</si>
  <si>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</si>
  <si>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</si>
  <si>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</si>
  <si>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</si>
  <si>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</si>
  <si>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</si>
  <si>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</si>
  <si>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</si>
  <si>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</si>
  <si>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</si>
  <si>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</si>
  <si>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</si>
  <si>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</si>
  <si>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</si>
  <si>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</si>
  <si>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</si>
  <si>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</si>
  <si>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</si>
  <si>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</si>
  <si>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</si>
  <si>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</si>
  <si>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</si>
  <si>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</si>
  <si>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</si>
  <si>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</si>
  <si>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</si>
  <si>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</si>
  <si>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</si>
  <si>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</si>
  <si>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</si>
  <si>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</si>
  <si>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</si>
  <si>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</si>
  <si>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</si>
  <si>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</si>
  <si>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</si>
  <si>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</si>
  <si>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</si>
  <si>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</si>
  <si>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</si>
  <si>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</si>
  <si>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</si>
  <si>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</si>
  <si>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</si>
  <si>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</si>
  <si>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</si>
  <si>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</si>
  <si>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</si>
  <si>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</si>
  <si>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</si>
  <si>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</si>
  <si>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</si>
  <si>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</si>
  <si>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</si>
  <si>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</si>
  <si>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</si>
  <si>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</si>
  <si>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</si>
  <si>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</si>
  <si>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</si>
  <si>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</si>
  <si>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</si>
  <si>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</si>
  <si>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</si>
  <si>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</si>
  <si>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</si>
  <si>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</si>
  <si>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</si>
  <si>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</si>
  <si>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</si>
  <si>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</si>
  <si>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</si>
  <si>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</si>
  <si>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</si>
  <si>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</si>
  <si>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</si>
  <si>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</si>
  <si>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</si>
  <si>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</si>
  <si>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</si>
  <si>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</si>
  <si>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</si>
  <si>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</si>
  <si>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</si>
  <si>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</si>
  <si>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</si>
  <si>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</si>
  <si>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</si>
  <si>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</si>
  <si>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</si>
  <si>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</si>
  <si>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</si>
  <si>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</si>
  <si>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</si>
  <si>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</si>
  <si>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</si>
  <si>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</si>
  <si>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</si>
  <si>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</si>
  <si>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</si>
  <si>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</si>
  <si>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</si>
  <si>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</si>
  <si>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</si>
  <si>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</si>
  <si>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</si>
  <si>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</si>
  <si>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</si>
  <si>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</si>
  <si>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</si>
  <si>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</si>
  <si>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</si>
  <si>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</si>
  <si>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</si>
  <si>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</si>
  <si>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</si>
  <si>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</si>
  <si>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</si>
  <si>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</si>
  <si>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</si>
  <si>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</si>
  <si>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</si>
  <si>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</si>
  <si>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</si>
  <si>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</si>
  <si>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</si>
  <si>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</si>
  <si>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01.01.2020.</t>
  </si>
  <si>
    <t>2020.</t>
  </si>
  <si>
    <t>03244024</t>
  </si>
  <si>
    <t>HR</t>
  </si>
  <si>
    <t>45422293596</t>
  </si>
  <si>
    <t>1200</t>
  </si>
  <si>
    <t>BRIONKA d.d.</t>
  </si>
  <si>
    <t>PULA</t>
  </si>
  <si>
    <t>Tršćanska 35</t>
  </si>
  <si>
    <t>Mateljak Tea</t>
  </si>
  <si>
    <t>052/350-915</t>
  </si>
  <si>
    <t>tea.mateljak@brionka.hr</t>
  </si>
  <si>
    <t>Consultum Komparić d.o.o.</t>
  </si>
  <si>
    <t>Suzana Buić</t>
  </si>
  <si>
    <t>7478000S0FAT5DMQUD128</t>
  </si>
  <si>
    <t>info@brionka.hr</t>
  </si>
  <si>
    <t>www.brionka.hr</t>
  </si>
  <si>
    <t>Obveznik: BRIONKA DD</t>
  </si>
  <si>
    <t> 30.06.2020.</t>
  </si>
  <si>
    <t>u razdoblju 01.01.2020. do 30.06.2020.</t>
  </si>
  <si>
    <t>stanje na dan  30.06.2020.</t>
  </si>
  <si>
    <t>040051487</t>
  </si>
  <si>
    <t>Obveznik: Brionka d.d. Hanfa</t>
  </si>
  <si>
    <t>Obveznik: BRIONKA d.d. Hanfa</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</si>
</sst>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37" workbookViewId="0">
      <selection activeCell="C14" sqref="C14"/>
    </sheetView>
  </sheetViews>
  <sheetFormatPr defaultColWidth="9.140625" defaultRowHeight="1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2">
        <v>1</v>
      </c>
    </row>
    <row r="3" spans="1:20">
      <c r="A3" s="74"/>
      <c r="B3" s="75"/>
      <c r="C3" s="75"/>
      <c r="D3" s="75"/>
      <c r="E3" s="75"/>
      <c r="F3" s="75"/>
      <c r="G3" s="75"/>
      <c r="H3" s="75"/>
      <c r="I3" s="75"/>
      <c r="J3" s="76"/>
      <c r="N3" s="122">
        <v>2</v>
      </c>
    </row>
    <row r="4" spans="1:20" ht="33.6" customHeight="1">
      <c r="A4" s="133" t="s">
        <v>392</v>
      </c>
      <c r="B4" s="134"/>
      <c r="C4" s="134"/>
      <c r="D4" s="134"/>
      <c r="E4" s="135" t="s">
        <v>435</v>
      </c>
      <c r="F4" s="136"/>
      <c r="G4" s="77" t="s">
        <v>0</v>
      </c>
      <c r="H4" s="135" t="s">
        <v>453</v>
      </c>
      <c r="I4" s="136"/>
      <c r="J4" s="78"/>
      <c r="N4" s="122">
        <v>3</v>
      </c>
    </row>
    <row r="5" spans="1:20" s="79" customFormat="1" ht="10.15" customHeight="1">
      <c r="A5" s="137"/>
      <c r="B5" s="138"/>
      <c r="C5" s="138"/>
      <c r="D5" s="138"/>
      <c r="E5" s="138"/>
      <c r="F5" s="138"/>
      <c r="G5" s="138"/>
      <c r="H5" s="138"/>
      <c r="I5" s="138"/>
      <c r="J5" s="139"/>
      <c r="N5" s="123">
        <v>4</v>
      </c>
    </row>
    <row r="6" spans="1:20" ht="20.45" customHeight="1">
      <c r="A6" s="80"/>
      <c r="B6" s="81" t="s">
        <v>415</v>
      </c>
      <c r="C6" s="82"/>
      <c r="D6" s="82"/>
      <c r="E6" s="88" t="s">
        <v>436</v>
      </c>
      <c r="F6" s="83"/>
      <c r="G6" s="77"/>
      <c r="H6" s="83"/>
      <c r="I6" s="84"/>
      <c r="J6" s="85"/>
    </row>
    <row r="7" spans="1:20" s="87" customFormat="1" ht="10.9" customHeight="1">
      <c r="A7" s="80"/>
      <c r="B7" s="82"/>
      <c r="C7" s="82"/>
      <c r="D7" s="82"/>
      <c r="E7" s="86"/>
      <c r="F7" s="86"/>
      <c r="G7" s="77"/>
      <c r="H7" s="83"/>
      <c r="I7" s="84"/>
      <c r="J7" s="85"/>
      <c r="K7" s="125"/>
      <c r="L7" s="125"/>
      <c r="M7" s="125"/>
      <c r="N7" s="126"/>
      <c r="O7" s="125"/>
      <c r="P7" s="125"/>
      <c r="Q7" s="125"/>
      <c r="R7" s="125"/>
      <c r="S7" s="125"/>
      <c r="T7" s="125"/>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5"/>
      <c r="L9" s="125"/>
      <c r="M9" s="125"/>
      <c r="N9" s="126"/>
      <c r="O9" s="125"/>
      <c r="P9" s="125"/>
      <c r="Q9" s="125"/>
      <c r="R9" s="125"/>
      <c r="S9" s="125"/>
      <c r="T9" s="125"/>
    </row>
    <row r="10" spans="1:20" ht="37.9" customHeight="1">
      <c r="A10" s="147" t="s">
        <v>417</v>
      </c>
      <c r="B10" s="148"/>
      <c r="C10" s="148"/>
      <c r="D10" s="148"/>
      <c r="E10" s="148"/>
      <c r="F10" s="148"/>
      <c r="G10" s="148"/>
      <c r="H10" s="148"/>
      <c r="I10" s="148"/>
      <c r="J10" s="90"/>
    </row>
    <row r="11" spans="1:20" ht="24.6" customHeight="1">
      <c r="A11" s="149" t="s">
        <v>393</v>
      </c>
      <c r="B11" s="150"/>
      <c r="C11" s="142" t="s">
        <v>437</v>
      </c>
      <c r="D11" s="143"/>
      <c r="E11" s="91"/>
      <c r="F11" s="151" t="s">
        <v>418</v>
      </c>
      <c r="G11" s="141"/>
      <c r="H11" s="152" t="s">
        <v>438</v>
      </c>
      <c r="I11" s="153"/>
      <c r="J11" s="92"/>
    </row>
    <row r="12" spans="1:20" ht="14.45" customHeight="1">
      <c r="A12" s="93"/>
      <c r="B12" s="94"/>
      <c r="C12" s="94"/>
      <c r="D12" s="94"/>
      <c r="E12" s="145"/>
      <c r="F12" s="145"/>
      <c r="G12" s="145"/>
      <c r="H12" s="145"/>
      <c r="I12" s="95"/>
      <c r="J12" s="92"/>
    </row>
    <row r="13" spans="1:20" ht="21" customHeight="1">
      <c r="A13" s="140" t="s">
        <v>408</v>
      </c>
      <c r="B13" s="141"/>
      <c r="C13" s="142" t="s">
        <v>456</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439</v>
      </c>
      <c r="D15" s="143"/>
      <c r="E15" s="160"/>
      <c r="F15" s="161"/>
      <c r="G15" s="97" t="s">
        <v>419</v>
      </c>
      <c r="H15" s="152" t="s">
        <v>449</v>
      </c>
      <c r="I15" s="153"/>
      <c r="J15" s="98"/>
    </row>
    <row r="16" spans="1:20" ht="10.9" customHeight="1">
      <c r="A16" s="91"/>
      <c r="B16" s="95"/>
      <c r="C16" s="94"/>
      <c r="D16" s="94"/>
      <c r="E16" s="146"/>
      <c r="F16" s="146"/>
      <c r="G16" s="146"/>
      <c r="H16" s="146"/>
      <c r="I16" s="94"/>
      <c r="J16" s="96"/>
    </row>
    <row r="17" spans="1:10" ht="22.9" customHeight="1">
      <c r="A17" s="99"/>
      <c r="B17" s="97" t="s">
        <v>420</v>
      </c>
      <c r="C17" s="142" t="s">
        <v>440</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441</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52100</v>
      </c>
      <c r="D21" s="153"/>
      <c r="E21" s="146"/>
      <c r="F21" s="146"/>
      <c r="G21" s="157" t="s">
        <v>442</v>
      </c>
      <c r="H21" s="158"/>
      <c r="I21" s="158"/>
      <c r="J21" s="159"/>
    </row>
    <row r="22" spans="1:10">
      <c r="A22" s="93"/>
      <c r="B22" s="94"/>
      <c r="C22" s="94"/>
      <c r="D22" s="94"/>
      <c r="E22" s="146"/>
      <c r="F22" s="146"/>
      <c r="G22" s="146"/>
      <c r="H22" s="146"/>
      <c r="I22" s="94"/>
      <c r="J22" s="96"/>
    </row>
    <row r="23" spans="1:10">
      <c r="A23" s="149" t="s">
        <v>397</v>
      </c>
      <c r="B23" s="156"/>
      <c r="C23" s="157" t="s">
        <v>443</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450</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451</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131</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422</v>
      </c>
      <c r="D31" s="166" t="s">
        <v>421</v>
      </c>
      <c r="E31" s="167"/>
      <c r="F31" s="167"/>
      <c r="G31" s="167"/>
      <c r="H31" s="106"/>
      <c r="I31" s="107" t="s">
        <v>422</v>
      </c>
      <c r="J31" s="108" t="s">
        <v>423</v>
      </c>
    </row>
    <row r="32" spans="1:10">
      <c r="A32" s="149"/>
      <c r="B32" s="156"/>
      <c r="C32" s="109"/>
      <c r="D32" s="77"/>
      <c r="E32" s="161"/>
      <c r="F32" s="161"/>
      <c r="G32" s="161"/>
      <c r="H32" s="161"/>
      <c r="I32" s="104"/>
      <c r="J32" s="105"/>
    </row>
    <row r="33" spans="1:10">
      <c r="A33" s="149" t="s">
        <v>410</v>
      </c>
      <c r="B33" s="156"/>
      <c r="C33" s="102" t="s">
        <v>425</v>
      </c>
      <c r="D33" s="166" t="s">
        <v>424</v>
      </c>
      <c r="E33" s="167"/>
      <c r="F33" s="167"/>
      <c r="G33" s="167"/>
      <c r="H33" s="100"/>
      <c r="I33" s="107" t="s">
        <v>425</v>
      </c>
      <c r="J33" s="108" t="s">
        <v>426</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427</v>
      </c>
    </row>
    <row r="49" spans="1:10">
      <c r="A49" s="113"/>
      <c r="B49" s="101"/>
      <c r="C49" s="101"/>
      <c r="D49" s="94"/>
      <c r="E49" s="146"/>
      <c r="F49" s="146"/>
      <c r="G49" s="172"/>
      <c r="H49" s="172"/>
      <c r="I49" s="94"/>
      <c r="J49" s="114" t="s">
        <v>428</v>
      </c>
    </row>
    <row r="50" spans="1:10" ht="14.45" customHeight="1">
      <c r="A50" s="140" t="s">
        <v>403</v>
      </c>
      <c r="B50" s="151"/>
      <c r="C50" s="152"/>
      <c r="D50" s="153"/>
      <c r="E50" s="178" t="s">
        <v>429</v>
      </c>
      <c r="F50" s="179"/>
      <c r="G50" s="157"/>
      <c r="H50" s="158"/>
      <c r="I50" s="158"/>
      <c r="J50" s="159"/>
    </row>
    <row r="51" spans="1:10">
      <c r="A51" s="113"/>
      <c r="B51" s="101"/>
      <c r="C51" s="172"/>
      <c r="D51" s="172"/>
      <c r="E51" s="146"/>
      <c r="F51" s="146"/>
      <c r="G51" s="180" t="s">
        <v>430</v>
      </c>
      <c r="H51" s="180"/>
      <c r="I51" s="180"/>
      <c r="J51" s="85"/>
    </row>
    <row r="52" spans="1:10" ht="13.9" customHeight="1">
      <c r="A52" s="140" t="s">
        <v>404</v>
      </c>
      <c r="B52" s="151"/>
      <c r="C52" s="157" t="s">
        <v>444</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445</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446</v>
      </c>
      <c r="D56" s="182"/>
      <c r="E56" s="182"/>
      <c r="F56" s="182"/>
      <c r="G56" s="182"/>
      <c r="H56" s="182"/>
      <c r="I56" s="182"/>
      <c r="J56" s="183"/>
    </row>
    <row r="57" spans="1:10">
      <c r="A57" s="93"/>
      <c r="B57" s="94"/>
      <c r="C57" s="94"/>
      <c r="D57" s="94"/>
      <c r="E57" s="146"/>
      <c r="F57" s="146"/>
      <c r="G57" s="146"/>
      <c r="H57" s="146"/>
      <c r="I57" s="94"/>
      <c r="J57" s="96"/>
    </row>
    <row r="58" spans="1:10">
      <c r="A58" s="140" t="s">
        <v>431</v>
      </c>
      <c r="B58" s="151"/>
      <c r="C58" s="181" t="s">
        <v>447</v>
      </c>
      <c r="D58" s="182"/>
      <c r="E58" s="182"/>
      <c r="F58" s="182"/>
      <c r="G58" s="182"/>
      <c r="H58" s="182"/>
      <c r="I58" s="182"/>
      <c r="J58" s="183"/>
    </row>
    <row r="59" spans="1:10" ht="14.45" customHeight="1">
      <c r="A59" s="93"/>
      <c r="B59" s="94"/>
      <c r="C59" s="184" t="s">
        <v>432</v>
      </c>
      <c r="D59" s="184"/>
      <c r="E59" s="184"/>
      <c r="F59" s="184"/>
      <c r="G59" s="94"/>
      <c r="H59" s="94"/>
      <c r="I59" s="94"/>
      <c r="J59" s="96"/>
    </row>
    <row r="60" spans="1:10">
      <c r="A60" s="140" t="s">
        <v>433</v>
      </c>
      <c r="B60" s="151"/>
      <c r="C60" s="181" t="s">
        <v>448</v>
      </c>
      <c r="D60" s="182"/>
      <c r="E60" s="182"/>
      <c r="F60" s="182"/>
      <c r="G60" s="182"/>
      <c r="H60" s="182"/>
      <c r="I60" s="182"/>
      <c r="J60" s="183"/>
    </row>
    <row r="61" spans="1:10" ht="14.45" customHeight="1">
      <c r="A61" s="115"/>
      <c r="B61" s="116"/>
      <c r="C61" s="185" t="s">
        <v>434</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7559055118110237" right="0.23622047244094491" top="0.74803149606299213" bottom="0.43307086614173229"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46" zoomScaleSheetLayoutView="146" workbookViewId="0">
      <selection activeCell="K5" sqref="K5"/>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455</v>
      </c>
      <c r="B2" s="192"/>
      <c r="C2" s="192"/>
      <c r="D2" s="192"/>
      <c r="E2" s="192"/>
      <c r="F2" s="192"/>
      <c r="G2" s="192"/>
      <c r="H2" s="192"/>
      <c r="I2" s="192"/>
    </row>
    <row r="3" spans="1:9">
      <c r="A3" s="193" t="s">
        <v>355</v>
      </c>
      <c r="B3" s="194"/>
      <c r="C3" s="194"/>
      <c r="D3" s="194"/>
      <c r="E3" s="194"/>
      <c r="F3" s="194"/>
      <c r="G3" s="194"/>
      <c r="H3" s="194"/>
      <c r="I3" s="194"/>
    </row>
    <row r="4" spans="1:9">
      <c r="A4" s="195" t="s">
        <v>457</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41393706</v>
      </c>
      <c r="I9" s="34">
        <f>I10+I17+I27+I38+I43</f>
        <v>39847475</v>
      </c>
    </row>
    <row r="10" spans="1:9" ht="12.75" customHeight="1">
      <c r="A10" s="187" t="s">
        <v>5</v>
      </c>
      <c r="B10" s="187"/>
      <c r="C10" s="187"/>
      <c r="D10" s="187"/>
      <c r="E10" s="187"/>
      <c r="F10" s="187"/>
      <c r="G10" s="16">
        <v>3</v>
      </c>
      <c r="H10" s="34">
        <f>H11+H12+H13+H14+H15+H16</f>
        <v>1340517</v>
      </c>
      <c r="I10" s="34">
        <f>I11+I12+I13+I14+I15+I16</f>
        <v>1236866</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127">
        <v>1340517</v>
      </c>
      <c r="I12" s="33">
        <v>1236866</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37407389</v>
      </c>
      <c r="I17" s="34">
        <f>I18+I19+I20+I21+I22+I23+I24+I25+I26</f>
        <v>35964809</v>
      </c>
    </row>
    <row r="18" spans="1:9" ht="12.75" customHeight="1">
      <c r="A18" s="186" t="s">
        <v>13</v>
      </c>
      <c r="B18" s="186"/>
      <c r="C18" s="186"/>
      <c r="D18" s="186"/>
      <c r="E18" s="186"/>
      <c r="F18" s="186"/>
      <c r="G18" s="15">
        <v>11</v>
      </c>
      <c r="H18" s="33">
        <v>7176993</v>
      </c>
      <c r="I18" s="33">
        <v>7176993</v>
      </c>
    </row>
    <row r="19" spans="1:9" ht="12.75" customHeight="1">
      <c r="A19" s="186" t="s">
        <v>14</v>
      </c>
      <c r="B19" s="186"/>
      <c r="C19" s="186"/>
      <c r="D19" s="186"/>
      <c r="E19" s="186"/>
      <c r="F19" s="186"/>
      <c r="G19" s="15">
        <v>12</v>
      </c>
      <c r="H19" s="33">
        <v>16030026</v>
      </c>
      <c r="I19" s="33">
        <v>15900191</v>
      </c>
    </row>
    <row r="20" spans="1:9" ht="12.75" customHeight="1">
      <c r="A20" s="186" t="s">
        <v>15</v>
      </c>
      <c r="B20" s="186"/>
      <c r="C20" s="186"/>
      <c r="D20" s="186"/>
      <c r="E20" s="186"/>
      <c r="F20" s="186"/>
      <c r="G20" s="15">
        <v>13</v>
      </c>
      <c r="H20" s="33">
        <v>11905241</v>
      </c>
      <c r="I20" s="33">
        <v>10928534</v>
      </c>
    </row>
    <row r="21" spans="1:9" ht="12.75" customHeight="1">
      <c r="A21" s="186" t="s">
        <v>16</v>
      </c>
      <c r="B21" s="186"/>
      <c r="C21" s="186"/>
      <c r="D21" s="186"/>
      <c r="E21" s="186"/>
      <c r="F21" s="186"/>
      <c r="G21" s="15">
        <v>14</v>
      </c>
      <c r="H21" s="33">
        <v>1723129</v>
      </c>
      <c r="I21" s="33">
        <f>1332855+1139</f>
        <v>1333994</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572000</v>
      </c>
      <c r="I24" s="33">
        <f>572000+53097</f>
        <v>625097</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2645800</v>
      </c>
      <c r="I27" s="34">
        <f>SUM(I28:I37)</f>
        <v>2645800</v>
      </c>
    </row>
    <row r="28" spans="1:9" ht="12.75" customHeight="1">
      <c r="A28" s="186" t="s">
        <v>23</v>
      </c>
      <c r="B28" s="186"/>
      <c r="C28" s="186"/>
      <c r="D28" s="186"/>
      <c r="E28" s="186"/>
      <c r="F28" s="186"/>
      <c r="G28" s="15">
        <v>21</v>
      </c>
      <c r="H28" s="33">
        <v>2301400</v>
      </c>
      <c r="I28" s="33">
        <v>2301400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35610855</v>
      </c>
      <c r="I44" s="34">
        <f>I45+I53+I60+I70</f>
        <v>34725375</v>
      </c>
    </row>
    <row r="45" spans="1:9" ht="12.75" customHeight="1">
      <c r="A45" s="187" t="s">
        <v>39</v>
      </c>
      <c r="B45" s="187"/>
      <c r="C45" s="187"/>
      <c r="D45" s="187"/>
      <c r="E45" s="187"/>
      <c r="F45" s="187"/>
      <c r="G45" s="16">
        <v>38</v>
      </c>
      <c r="H45" s="34">
        <f>SUM(H46:H52)</f>
        <v>1585281</v>
      </c>
      <c r="I45" s="34">
        <f>SUM(I46:I52)</f>
        <v>1223229</v>
      </c>
    </row>
    <row r="46" spans="1:9" ht="12.75" customHeight="1">
      <c r="A46" s="186" t="s">
        <v>40</v>
      </c>
      <c r="B46" s="186"/>
      <c r="C46" s="186"/>
      <c r="D46" s="186"/>
      <c r="E46" s="186"/>
      <c r="F46" s="186"/>
      <c r="G46" s="15">
        <v>39</v>
      </c>
      <c r="H46" s="33">
        <v>1349435</v>
      </c>
      <c r="I46" s="33">
        <f>2227965-1161968</f>
        <v>1065997</v>
      </c>
    </row>
    <row r="47" spans="1:9" ht="12.75" customHeight="1">
      <c r="A47" s="186" t="s">
        <v>41</v>
      </c>
      <c r="B47" s="186"/>
      <c r="C47" s="186"/>
      <c r="D47" s="186"/>
      <c r="E47" s="186"/>
      <c r="F47" s="186"/>
      <c r="G47" s="15">
        <v>40</v>
      </c>
      <c r="H47" s="33">
        <v>2063</v>
      </c>
      <c r="I47" s="33">
        <v>1403</v>
      </c>
    </row>
    <row r="48" spans="1:9" ht="12.75" customHeight="1">
      <c r="A48" s="186" t="s">
        <v>42</v>
      </c>
      <c r="B48" s="186"/>
      <c r="C48" s="186"/>
      <c r="D48" s="186"/>
      <c r="E48" s="186"/>
      <c r="F48" s="186"/>
      <c r="G48" s="15">
        <v>41</v>
      </c>
      <c r="H48" s="33">
        <v>223045</v>
      </c>
      <c r="I48" s="33">
        <f>155152-5178-1403</f>
        <v>148571</v>
      </c>
    </row>
    <row r="49" spans="1:9" ht="12.75" customHeight="1">
      <c r="A49" s="186" t="s">
        <v>43</v>
      </c>
      <c r="B49" s="186"/>
      <c r="C49" s="186"/>
      <c r="D49" s="186"/>
      <c r="E49" s="186"/>
      <c r="F49" s="186"/>
      <c r="G49" s="15">
        <v>42</v>
      </c>
      <c r="H49" s="33">
        <v>10738</v>
      </c>
      <c r="I49" s="33">
        <v>7258</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12275956</v>
      </c>
      <c r="I53" s="34">
        <f>SUM(I54:I59)</f>
        <v>12382441</v>
      </c>
    </row>
    <row r="54" spans="1:9" ht="12.75" customHeight="1">
      <c r="A54" s="186" t="s">
        <v>48</v>
      </c>
      <c r="B54" s="186"/>
      <c r="C54" s="186"/>
      <c r="D54" s="186"/>
      <c r="E54" s="186"/>
      <c r="F54" s="186"/>
      <c r="G54" s="15">
        <v>47</v>
      </c>
      <c r="H54" s="33">
        <v>7037743</v>
      </c>
      <c r="I54" s="33">
        <f>999197+1783444+4254951</f>
        <v>7037592</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4087067</v>
      </c>
      <c r="I56" s="33">
        <f>5223081-999378+46146</f>
        <v>4269849</v>
      </c>
    </row>
    <row r="57" spans="1:9" ht="12.75" customHeight="1">
      <c r="A57" s="186" t="s">
        <v>51</v>
      </c>
      <c r="B57" s="186"/>
      <c r="C57" s="186"/>
      <c r="D57" s="186"/>
      <c r="E57" s="186"/>
      <c r="F57" s="186"/>
      <c r="G57" s="15">
        <v>50</v>
      </c>
      <c r="H57" s="33">
        <v>0</v>
      </c>
      <c r="I57" s="33"/>
    </row>
    <row r="58" spans="1:9" ht="12.75" customHeight="1">
      <c r="A58" s="186" t="s">
        <v>52</v>
      </c>
      <c r="B58" s="186"/>
      <c r="C58" s="186"/>
      <c r="D58" s="186"/>
      <c r="E58" s="186"/>
      <c r="F58" s="186"/>
      <c r="G58" s="15">
        <v>51</v>
      </c>
      <c r="H58" s="33">
        <v>130647</v>
      </c>
      <c r="I58" s="33">
        <f>1021+50014</f>
        <v>51035</v>
      </c>
    </row>
    <row r="59" spans="1:9" ht="12.75" customHeight="1">
      <c r="A59" s="186" t="s">
        <v>53</v>
      </c>
      <c r="B59" s="186"/>
      <c r="C59" s="186"/>
      <c r="D59" s="186"/>
      <c r="E59" s="186"/>
      <c r="F59" s="186"/>
      <c r="G59" s="15">
        <v>52</v>
      </c>
      <c r="H59" s="33">
        <v>1020499</v>
      </c>
      <c r="I59" s="33">
        <v>1023965</v>
      </c>
    </row>
    <row r="60" spans="1:9" ht="12.75" customHeight="1">
      <c r="A60" s="187" t="s">
        <v>54</v>
      </c>
      <c r="B60" s="187"/>
      <c r="C60" s="187"/>
      <c r="D60" s="187"/>
      <c r="E60" s="187"/>
      <c r="F60" s="187"/>
      <c r="G60" s="16">
        <v>53</v>
      </c>
      <c r="H60" s="34">
        <f>SUM(H61:H69)</f>
        <v>21690000</v>
      </c>
      <c r="I60" s="34">
        <f>SUM(I61:I69)</f>
        <v>21005200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690000</v>
      </c>
      <c r="I68" s="33">
        <v>5200</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59618</v>
      </c>
      <c r="I70" s="33">
        <v>114505</v>
      </c>
    </row>
    <row r="71" spans="1:9" ht="12.75" customHeight="1">
      <c r="A71" s="203" t="s">
        <v>58</v>
      </c>
      <c r="B71" s="203"/>
      <c r="C71" s="203"/>
      <c r="D71" s="203"/>
      <c r="E71" s="203"/>
      <c r="F71" s="203"/>
      <c r="G71" s="15">
        <v>64</v>
      </c>
      <c r="H71" s="33">
        <v>517997</v>
      </c>
      <c r="I71" s="33">
        <v>376444</v>
      </c>
    </row>
    <row r="72" spans="1:9" ht="12.75" customHeight="1">
      <c r="A72" s="188" t="s">
        <v>383</v>
      </c>
      <c r="B72" s="188"/>
      <c r="C72" s="188"/>
      <c r="D72" s="188"/>
      <c r="E72" s="188"/>
      <c r="F72" s="188"/>
      <c r="G72" s="16">
        <v>65</v>
      </c>
      <c r="H72" s="34">
        <f>H8+H9+H44+H71</f>
        <v>77522558</v>
      </c>
      <c r="I72" s="34">
        <f>I8+I9+I44+I71</f>
        <v>74949294</v>
      </c>
    </row>
    <row r="73" spans="1:9" ht="12.75" customHeight="1">
      <c r="A73" s="203" t="s">
        <v>59</v>
      </c>
      <c r="B73" s="203"/>
      <c r="C73" s="203"/>
      <c r="D73" s="203"/>
      <c r="E73" s="203"/>
      <c r="F73" s="203"/>
      <c r="G73" s="15">
        <v>66</v>
      </c>
      <c r="H73" s="33">
        <v>1000</v>
      </c>
      <c r="I73" s="33">
        <f>1000+14081</f>
        <v>15081</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55768854</v>
      </c>
      <c r="I75" s="34">
        <f>I76+I77+I78+I84+I85+I89+I92+I95</f>
        <v>56347321</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1802724</v>
      </c>
      <c r="I78" s="34">
        <f>SUM(I79:I83)</f>
        <v>1802724</v>
      </c>
    </row>
    <row r="79" spans="1:9" ht="12.75" customHeight="1">
      <c r="A79" s="186" t="s">
        <v>64</v>
      </c>
      <c r="B79" s="186"/>
      <c r="C79" s="186"/>
      <c r="D79" s="186"/>
      <c r="E79" s="186"/>
      <c r="F79" s="186"/>
      <c r="G79" s="15">
        <v>71</v>
      </c>
      <c r="H79" s="33">
        <v>20357</v>
      </c>
      <c r="I79" s="33">
        <v>20357</v>
      </c>
    </row>
    <row r="80" spans="1:9" ht="12.75" customHeight="1">
      <c r="A80" s="186" t="s">
        <v>65</v>
      </c>
      <c r="B80" s="186"/>
      <c r="C80" s="186"/>
      <c r="D80" s="186"/>
      <c r="E80" s="186"/>
      <c r="F80" s="186"/>
      <c r="G80" s="15">
        <v>72</v>
      </c>
      <c r="H80" s="33">
        <v>4308951</v>
      </c>
      <c r="I80" s="33">
        <v>4308951</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33">
        <v>0</v>
      </c>
      <c r="I84" s="33">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386790</v>
      </c>
      <c r="I89" s="34">
        <f>I90-I91</f>
        <v>3650330</v>
      </c>
    </row>
    <row r="90" spans="1:9" ht="12.75" customHeight="1">
      <c r="A90" s="186" t="s">
        <v>75</v>
      </c>
      <c r="B90" s="186"/>
      <c r="C90" s="186"/>
      <c r="D90" s="186"/>
      <c r="E90" s="186"/>
      <c r="F90" s="186"/>
      <c r="G90" s="15">
        <v>82</v>
      </c>
      <c r="H90" s="127">
        <v>386790</v>
      </c>
      <c r="I90" s="33">
        <f>386790+3263540</f>
        <v>3650330</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3263540</v>
      </c>
      <c r="I92" s="34">
        <f>I93-I94</f>
        <v>578467</v>
      </c>
    </row>
    <row r="93" spans="1:9" ht="12.75" customHeight="1">
      <c r="A93" s="186" t="s">
        <v>78</v>
      </c>
      <c r="B93" s="186"/>
      <c r="C93" s="186"/>
      <c r="D93" s="186"/>
      <c r="E93" s="186"/>
      <c r="F93" s="186"/>
      <c r="G93" s="15">
        <v>85</v>
      </c>
      <c r="H93" s="33">
        <v>3263540</v>
      </c>
      <c r="I93" s="33">
        <v>578467</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7501617</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f>791277+6010340</f>
        <v>6801617</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v>700000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13810489</v>
      </c>
      <c r="I115" s="34">
        <f>SUM(I116:I129)</f>
        <v>11100356</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4087184</v>
      </c>
      <c r="I121" s="33">
        <f>3000000+429840+624517-779127</f>
        <v>3275230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7091274</v>
      </c>
      <c r="I123" s="33">
        <f>1599078+202000+338500+168934+2400086-20000</f>
        <v>4688598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797596</v>
      </c>
      <c r="I125" s="33">
        <f>691727+19477</f>
        <v>711204</v>
      </c>
    </row>
    <row r="126" spans="1:9">
      <c r="A126" s="186" t="s">
        <v>99</v>
      </c>
      <c r="B126" s="186"/>
      <c r="C126" s="186"/>
      <c r="D126" s="186"/>
      <c r="E126" s="186"/>
      <c r="F126" s="186"/>
      <c r="G126" s="15">
        <v>118</v>
      </c>
      <c r="H126" s="33">
        <v>736033</v>
      </c>
      <c r="I126" s="33">
        <f>1493097-218+27892+30605-2497</f>
        <v>1548879</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1098402</v>
      </c>
      <c r="I129" s="33">
        <f>376445+500000</f>
        <v>876445</v>
      </c>
    </row>
    <row r="130" spans="1:9" ht="22.15" customHeight="1">
      <c r="A130" s="203" t="s">
        <v>103</v>
      </c>
      <c r="B130" s="203"/>
      <c r="C130" s="203"/>
      <c r="D130" s="203"/>
      <c r="E130" s="203"/>
      <c r="F130" s="203"/>
      <c r="G130" s="15">
        <v>122</v>
      </c>
      <c r="H130" s="33">
        <v>0</v>
      </c>
      <c r="I130" s="33">
        <v>0</v>
      </c>
    </row>
    <row r="131" spans="1:9">
      <c r="A131" s="188" t="s">
        <v>388</v>
      </c>
      <c r="B131" s="188"/>
      <c r="C131" s="188"/>
      <c r="D131" s="188"/>
      <c r="E131" s="188"/>
      <c r="F131" s="188"/>
      <c r="G131" s="16">
        <v>123</v>
      </c>
      <c r="H131" s="34">
        <f>H75+H96+H103+H115+H130</f>
        <v>77522558</v>
      </c>
      <c r="I131" s="34">
        <f>I75+I96+I103+I115+I130</f>
        <v>74949294</v>
      </c>
    </row>
    <row r="132" spans="1:9">
      <c r="A132" s="203" t="s">
        <v>104</v>
      </c>
      <c r="B132" s="203"/>
      <c r="C132" s="203"/>
      <c r="D132" s="203"/>
      <c r="E132" s="203"/>
      <c r="F132" s="203"/>
      <c r="G132" s="15">
        <v>124</v>
      </c>
      <c r="H132" s="33">
        <v>1000</v>
      </c>
      <c r="I132" s="33">
        <f>1000+14081</f>
        <v>15081</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90">
    <cfRule type="cellIs" dxfId="1" priority="1" stopIfTrue="1" operator="notEqual">
      <formula>ROUND(H90,0)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1.24" bottom="0.57999999999999996"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130" zoomScaleNormal="130" zoomScaleSheetLayoutView="110" workbookViewId="0">
      <selection activeCell="A15" sqref="A15:F1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0"/>
      <c r="K1" s="120"/>
    </row>
    <row r="2" spans="1:11">
      <c r="A2" s="225" t="s">
        <v>454</v>
      </c>
      <c r="B2" s="192"/>
      <c r="C2" s="192"/>
      <c r="D2" s="192"/>
      <c r="E2" s="192"/>
      <c r="F2" s="192"/>
      <c r="G2" s="192"/>
      <c r="H2" s="192"/>
      <c r="I2" s="192"/>
      <c r="J2" s="120"/>
      <c r="K2" s="120"/>
    </row>
    <row r="3" spans="1:11">
      <c r="A3" s="213" t="s">
        <v>355</v>
      </c>
      <c r="B3" s="214"/>
      <c r="C3" s="214"/>
      <c r="D3" s="214"/>
      <c r="E3" s="214"/>
      <c r="F3" s="214"/>
      <c r="G3" s="214"/>
      <c r="H3" s="214"/>
      <c r="I3" s="214"/>
      <c r="J3" s="215"/>
      <c r="K3" s="215"/>
    </row>
    <row r="4" spans="1:11">
      <c r="A4" s="216" t="s">
        <v>458</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19048618</v>
      </c>
      <c r="I8" s="37">
        <f>SUM(I9:I13)</f>
        <v>10589401</v>
      </c>
      <c r="J8" s="37">
        <f>SUM(J9:J13)</f>
        <v>15739202</v>
      </c>
      <c r="K8" s="37">
        <f>SUM(K9:K13)</f>
        <v>8500170</v>
      </c>
    </row>
    <row r="9" spans="1:11">
      <c r="A9" s="186" t="s">
        <v>121</v>
      </c>
      <c r="B9" s="186"/>
      <c r="C9" s="186"/>
      <c r="D9" s="186"/>
      <c r="E9" s="186"/>
      <c r="F9" s="186"/>
      <c r="G9" s="15">
        <v>126</v>
      </c>
      <c r="H9" s="33">
        <v>5124341</v>
      </c>
      <c r="I9" s="33">
        <v>2659417</v>
      </c>
      <c r="J9" s="33">
        <v>3563715</v>
      </c>
      <c r="K9" s="33">
        <v>1624575</v>
      </c>
    </row>
    <row r="10" spans="1:11">
      <c r="A10" s="186" t="s">
        <v>122</v>
      </c>
      <c r="B10" s="186"/>
      <c r="C10" s="186"/>
      <c r="D10" s="186"/>
      <c r="E10" s="186"/>
      <c r="F10" s="186"/>
      <c r="G10" s="15">
        <v>127</v>
      </c>
      <c r="H10" s="33">
        <v>13516647</v>
      </c>
      <c r="I10" s="33">
        <v>7568599</v>
      </c>
      <c r="J10" s="33">
        <f>13305486+293908-3563715</f>
        <v>10035679</v>
      </c>
      <c r="K10" s="33">
        <v>4931547</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407630</v>
      </c>
      <c r="I13" s="33">
        <v>361385</v>
      </c>
      <c r="J13" s="33">
        <f>520067+12971+86629+1515750+4391</f>
        <v>2139808</v>
      </c>
      <c r="K13" s="33">
        <v>1944048</v>
      </c>
    </row>
    <row r="14" spans="1:11">
      <c r="A14" s="222" t="s">
        <v>126</v>
      </c>
      <c r="B14" s="222"/>
      <c r="C14" s="222"/>
      <c r="D14" s="222"/>
      <c r="E14" s="222"/>
      <c r="F14" s="222"/>
      <c r="G14" s="20">
        <v>131</v>
      </c>
      <c r="H14" s="37">
        <f>H15+H16+H20+H24+H25+H26+H29+H36</f>
        <v>17931412</v>
      </c>
      <c r="I14" s="37">
        <f>I15+I16+I20+I24+I25+I26+I29+I36</f>
        <v>10188418</v>
      </c>
      <c r="J14" s="37">
        <f>J15+J16+J20+J24+J25+J26+J29+J36</f>
        <v>14904210</v>
      </c>
      <c r="K14" s="37">
        <f>K15+K16+K20+K24+K25+K26+K29+K36</f>
        <v>8059079</v>
      </c>
    </row>
    <row r="15" spans="1:11">
      <c r="A15" s="186" t="s">
        <v>108</v>
      </c>
      <c r="B15" s="186"/>
      <c r="C15" s="186"/>
      <c r="D15" s="186"/>
      <c r="E15" s="186"/>
      <c r="F15" s="186"/>
      <c r="G15" s="15">
        <v>132</v>
      </c>
      <c r="H15" s="33">
        <v>32685</v>
      </c>
      <c r="I15" s="33">
        <v>129101</v>
      </c>
      <c r="J15" s="33">
        <v>190737</v>
      </c>
      <c r="K15" s="33">
        <v>189862</v>
      </c>
    </row>
    <row r="16" spans="1:11">
      <c r="A16" s="231" t="s">
        <v>127</v>
      </c>
      <c r="B16" s="231"/>
      <c r="C16" s="231"/>
      <c r="D16" s="231"/>
      <c r="E16" s="231"/>
      <c r="F16" s="231"/>
      <c r="G16" s="20">
        <v>133</v>
      </c>
      <c r="H16" s="37">
        <f>SUM(H17:H19)</f>
        <v>11220170</v>
      </c>
      <c r="I16" s="37">
        <f>SUM(I17:I19)</f>
        <v>5514931</v>
      </c>
      <c r="J16" s="37">
        <f>SUM(J17:J19)</f>
        <v>6657470</v>
      </c>
      <c r="K16" s="37">
        <f>SUM(K17:K19)</f>
        <v>3372054</v>
      </c>
    </row>
    <row r="17" spans="1:11">
      <c r="A17" s="228" t="s">
        <v>128</v>
      </c>
      <c r="B17" s="228"/>
      <c r="C17" s="228"/>
      <c r="D17" s="228"/>
      <c r="E17" s="228"/>
      <c r="F17" s="228"/>
      <c r="G17" s="15">
        <v>134</v>
      </c>
      <c r="H17" s="33">
        <v>7698865</v>
      </c>
      <c r="I17" s="33">
        <v>4214438</v>
      </c>
      <c r="J17" s="33">
        <v>4656300</v>
      </c>
      <c r="K17" s="33">
        <v>2472217</v>
      </c>
    </row>
    <row r="18" spans="1:11">
      <c r="A18" s="228" t="s">
        <v>129</v>
      </c>
      <c r="B18" s="228"/>
      <c r="C18" s="228"/>
      <c r="D18" s="228"/>
      <c r="E18" s="228"/>
      <c r="F18" s="228"/>
      <c r="G18" s="15">
        <v>135</v>
      </c>
      <c r="H18" s="33">
        <v>320510</v>
      </c>
      <c r="I18" s="33">
        <v>12549</v>
      </c>
      <c r="J18" s="33">
        <v>359899</v>
      </c>
      <c r="K18" s="33">
        <v>212352</v>
      </c>
    </row>
    <row r="19" spans="1:11">
      <c r="A19" s="228" t="s">
        <v>130</v>
      </c>
      <c r="B19" s="228"/>
      <c r="C19" s="228"/>
      <c r="D19" s="228"/>
      <c r="E19" s="228"/>
      <c r="F19" s="228"/>
      <c r="G19" s="15">
        <v>136</v>
      </c>
      <c r="H19" s="33">
        <v>3200795</v>
      </c>
      <c r="I19" s="33">
        <v>1287944</v>
      </c>
      <c r="J19" s="33">
        <v>1641271</v>
      </c>
      <c r="K19" s="33">
        <v>687485</v>
      </c>
    </row>
    <row r="20" spans="1:11">
      <c r="A20" s="231" t="s">
        <v>131</v>
      </c>
      <c r="B20" s="231"/>
      <c r="C20" s="231"/>
      <c r="D20" s="231"/>
      <c r="E20" s="231"/>
      <c r="F20" s="231"/>
      <c r="G20" s="20">
        <v>137</v>
      </c>
      <c r="H20" s="37">
        <f>SUM(H21:H23)</f>
        <v>4142255</v>
      </c>
      <c r="I20" s="37">
        <f>SUM(I21:I23)</f>
        <v>3148521</v>
      </c>
      <c r="J20" s="37">
        <f>SUM(J21:J23)</f>
        <v>5210152</v>
      </c>
      <c r="K20" s="37">
        <f>SUM(K21:K23)</f>
        <v>2650148</v>
      </c>
    </row>
    <row r="21" spans="1:11">
      <c r="A21" s="228" t="s">
        <v>109</v>
      </c>
      <c r="B21" s="228"/>
      <c r="C21" s="228"/>
      <c r="D21" s="228"/>
      <c r="E21" s="228"/>
      <c r="F21" s="228"/>
      <c r="G21" s="15">
        <v>138</v>
      </c>
      <c r="H21" s="33">
        <v>2576732</v>
      </c>
      <c r="I21" s="33">
        <v>1966784</v>
      </c>
      <c r="J21" s="33">
        <f>3583642-110028</f>
        <v>3473614</v>
      </c>
      <c r="K21" s="33">
        <v>1752677</v>
      </c>
    </row>
    <row r="22" spans="1:11">
      <c r="A22" s="228" t="s">
        <v>110</v>
      </c>
      <c r="B22" s="228"/>
      <c r="C22" s="228"/>
      <c r="D22" s="228"/>
      <c r="E22" s="228"/>
      <c r="F22" s="228"/>
      <c r="G22" s="15">
        <v>139</v>
      </c>
      <c r="H22" s="33">
        <v>986323</v>
      </c>
      <c r="I22" s="33">
        <v>739562</v>
      </c>
      <c r="J22" s="33">
        <f>703319+192592+110028</f>
        <v>1005939</v>
      </c>
      <c r="K22" s="33">
        <v>525952</v>
      </c>
    </row>
    <row r="23" spans="1:11">
      <c r="A23" s="228" t="s">
        <v>111</v>
      </c>
      <c r="B23" s="228"/>
      <c r="C23" s="228"/>
      <c r="D23" s="228"/>
      <c r="E23" s="228"/>
      <c r="F23" s="228"/>
      <c r="G23" s="15">
        <v>140</v>
      </c>
      <c r="H23" s="33">
        <v>579200</v>
      </c>
      <c r="I23" s="33">
        <v>442175</v>
      </c>
      <c r="J23" s="33">
        <v>730599</v>
      </c>
      <c r="K23" s="33">
        <v>371519</v>
      </c>
    </row>
    <row r="24" spans="1:11">
      <c r="A24" s="186" t="s">
        <v>112</v>
      </c>
      <c r="B24" s="186"/>
      <c r="C24" s="186"/>
      <c r="D24" s="186"/>
      <c r="E24" s="186"/>
      <c r="F24" s="186"/>
      <c r="G24" s="15">
        <v>141</v>
      </c>
      <c r="H24" s="33">
        <v>1526436</v>
      </c>
      <c r="I24" s="33">
        <v>763136</v>
      </c>
      <c r="J24" s="33">
        <v>1539547</v>
      </c>
      <c r="K24" s="33">
        <v>765958</v>
      </c>
    </row>
    <row r="25" spans="1:11">
      <c r="A25" s="186" t="s">
        <v>113</v>
      </c>
      <c r="B25" s="186"/>
      <c r="C25" s="186"/>
      <c r="D25" s="186"/>
      <c r="E25" s="186"/>
      <c r="F25" s="186"/>
      <c r="G25" s="15">
        <v>142</v>
      </c>
      <c r="H25" s="33">
        <v>830985</v>
      </c>
      <c r="I25" s="33">
        <v>493782</v>
      </c>
      <c r="J25" s="33">
        <v>1179104</v>
      </c>
      <c r="K25" s="33">
        <v>966104</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178881</v>
      </c>
      <c r="I36" s="33">
        <v>138947</v>
      </c>
      <c r="J36" s="33">
        <v>127200</v>
      </c>
      <c r="K36" s="33">
        <v>114953</v>
      </c>
    </row>
    <row r="37" spans="1:11">
      <c r="A37" s="222" t="s">
        <v>142</v>
      </c>
      <c r="B37" s="222"/>
      <c r="C37" s="222"/>
      <c r="D37" s="222"/>
      <c r="E37" s="222"/>
      <c r="F37" s="222"/>
      <c r="G37" s="20">
        <v>154</v>
      </c>
      <c r="H37" s="37">
        <f>SUM(H38:H47)</f>
        <v>0</v>
      </c>
      <c r="I37" s="37">
        <f>SUM(I38:I47)</f>
        <v>0</v>
      </c>
      <c r="J37" s="37">
        <f>SUM(J38:J47)</f>
        <v>20</v>
      </c>
      <c r="K37" s="37">
        <f>SUM(K38:K47)</f>
        <v>15</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0</v>
      </c>
      <c r="I44" s="33">
        <v>0</v>
      </c>
      <c r="J44" s="33">
        <v>20</v>
      </c>
      <c r="K44" s="33">
        <v>15</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83628</v>
      </c>
      <c r="I48" s="37">
        <f>SUM(I49:I55)</f>
        <v>49696</v>
      </c>
      <c r="J48" s="37">
        <f>SUM(J49:J55)</f>
        <v>256545</v>
      </c>
      <c r="K48" s="37">
        <f>SUM(K49:K55)</f>
        <v>161056</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83628</v>
      </c>
      <c r="I51" s="33">
        <v>49696</v>
      </c>
      <c r="J51" s="33">
        <f>253631+2914</f>
        <v>256545</v>
      </c>
      <c r="K51" s="33">
        <v>161056</v>
      </c>
    </row>
    <row r="52" spans="1:11">
      <c r="A52" s="223" t="s">
        <v>157</v>
      </c>
      <c r="B52" s="223"/>
      <c r="C52" s="223"/>
      <c r="D52" s="223"/>
      <c r="E52" s="223"/>
      <c r="F52" s="223"/>
      <c r="G52" s="15">
        <v>169</v>
      </c>
      <c r="H52" s="33">
        <v>0</v>
      </c>
      <c r="I52" s="33">
        <v>0</v>
      </c>
      <c r="J52" s="33">
        <v>0</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19048618</v>
      </c>
      <c r="I60" s="37">
        <f t="shared" ref="I60:K60" si="0">I8+I37+I56+I57</f>
        <v>10589401</v>
      </c>
      <c r="J60" s="37">
        <f t="shared" si="0"/>
        <v>15739222</v>
      </c>
      <c r="K60" s="37">
        <f t="shared" si="0"/>
        <v>8500185</v>
      </c>
    </row>
    <row r="61" spans="1:11">
      <c r="A61" s="222" t="s">
        <v>166</v>
      </c>
      <c r="B61" s="222"/>
      <c r="C61" s="222"/>
      <c r="D61" s="222"/>
      <c r="E61" s="222"/>
      <c r="F61" s="222"/>
      <c r="G61" s="20">
        <v>178</v>
      </c>
      <c r="H61" s="37">
        <f>H14+H48+H58+H59</f>
        <v>18015040</v>
      </c>
      <c r="I61" s="37">
        <f t="shared" ref="I61:K61" si="1">I14+I48+I58+I59</f>
        <v>10238114</v>
      </c>
      <c r="J61" s="37">
        <f t="shared" si="1"/>
        <v>15160755</v>
      </c>
      <c r="K61" s="37">
        <f t="shared" si="1"/>
        <v>8220135</v>
      </c>
    </row>
    <row r="62" spans="1:11">
      <c r="A62" s="222" t="s">
        <v>167</v>
      </c>
      <c r="B62" s="222"/>
      <c r="C62" s="222"/>
      <c r="D62" s="222"/>
      <c r="E62" s="222"/>
      <c r="F62" s="222"/>
      <c r="G62" s="20">
        <v>179</v>
      </c>
      <c r="H62" s="37">
        <f>H60-H61</f>
        <v>1033578</v>
      </c>
      <c r="I62" s="37">
        <f t="shared" ref="I62:K62" si="2">I60-I61</f>
        <v>351287</v>
      </c>
      <c r="J62" s="37">
        <f t="shared" si="2"/>
        <v>578467</v>
      </c>
      <c r="K62" s="37">
        <f t="shared" si="2"/>
        <v>280050</v>
      </c>
    </row>
    <row r="63" spans="1:11">
      <c r="A63" s="209" t="s">
        <v>168</v>
      </c>
      <c r="B63" s="209"/>
      <c r="C63" s="209"/>
      <c r="D63" s="209"/>
      <c r="E63" s="209"/>
      <c r="F63" s="209"/>
      <c r="G63" s="20">
        <v>180</v>
      </c>
      <c r="H63" s="37">
        <f>+IF((H60-H61)&gt;0,(H60-H61),0)</f>
        <v>1033578</v>
      </c>
      <c r="I63" s="37">
        <f t="shared" ref="I63:K63" si="3">+IF((I60-I61)&gt;0,(I60-I61),0)</f>
        <v>351287</v>
      </c>
      <c r="J63" s="37">
        <f t="shared" si="3"/>
        <v>578467</v>
      </c>
      <c r="K63" s="37">
        <f t="shared" si="3"/>
        <v>280050</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1033578</v>
      </c>
      <c r="I66" s="37">
        <f t="shared" ref="I66:K66" si="5">I62-I65</f>
        <v>351287</v>
      </c>
      <c r="J66" s="37">
        <f t="shared" si="5"/>
        <v>578467</v>
      </c>
      <c r="K66" s="37">
        <f t="shared" si="5"/>
        <v>280050</v>
      </c>
    </row>
    <row r="67" spans="1:11">
      <c r="A67" s="209" t="s">
        <v>171</v>
      </c>
      <c r="B67" s="209"/>
      <c r="C67" s="209"/>
      <c r="D67" s="209"/>
      <c r="E67" s="209"/>
      <c r="F67" s="209"/>
      <c r="G67" s="20">
        <v>184</v>
      </c>
      <c r="H67" s="37">
        <f>+IF((H62-H65)&gt;0,(H62-H65),0)</f>
        <v>1033578</v>
      </c>
      <c r="I67" s="37">
        <f t="shared" ref="I67:K67" si="6">+IF((I62-I65)&gt;0,(I62-I65),0)</f>
        <v>351287</v>
      </c>
      <c r="J67" s="37">
        <f t="shared" si="6"/>
        <v>578467</v>
      </c>
      <c r="K67" s="37">
        <f t="shared" si="6"/>
        <v>280050</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1">
        <v>0</v>
      </c>
      <c r="I74" s="121">
        <v>0</v>
      </c>
      <c r="J74" s="121">
        <v>0</v>
      </c>
      <c r="K74" s="121">
        <v>0</v>
      </c>
    </row>
    <row r="75" spans="1:11">
      <c r="A75" s="209" t="s">
        <v>179</v>
      </c>
      <c r="B75" s="209"/>
      <c r="C75" s="209"/>
      <c r="D75" s="209"/>
      <c r="E75" s="209"/>
      <c r="F75" s="209"/>
      <c r="G75" s="20">
        <v>191</v>
      </c>
      <c r="H75" s="121">
        <v>0</v>
      </c>
      <c r="I75" s="121">
        <v>0</v>
      </c>
      <c r="J75" s="121">
        <v>0</v>
      </c>
      <c r="K75" s="121">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1">
        <v>0</v>
      </c>
      <c r="I77" s="121">
        <v>0</v>
      </c>
      <c r="J77" s="121">
        <v>0</v>
      </c>
      <c r="K77" s="121">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1">
        <v>0</v>
      </c>
      <c r="I80" s="121">
        <v>0</v>
      </c>
      <c r="J80" s="121">
        <v>0</v>
      </c>
      <c r="K80" s="121">
        <v>0</v>
      </c>
    </row>
    <row r="81" spans="1:11">
      <c r="A81" s="222" t="s">
        <v>185</v>
      </c>
      <c r="B81" s="222"/>
      <c r="C81" s="222"/>
      <c r="D81" s="222"/>
      <c r="E81" s="222"/>
      <c r="F81" s="222"/>
      <c r="G81" s="20">
        <v>196</v>
      </c>
      <c r="H81" s="121">
        <v>0</v>
      </c>
      <c r="I81" s="121">
        <v>0</v>
      </c>
      <c r="J81" s="121">
        <v>0</v>
      </c>
      <c r="K81" s="121">
        <v>0</v>
      </c>
    </row>
    <row r="82" spans="1:11">
      <c r="A82" s="209" t="s">
        <v>186</v>
      </c>
      <c r="B82" s="209"/>
      <c r="C82" s="209"/>
      <c r="D82" s="209"/>
      <c r="E82" s="209"/>
      <c r="F82" s="209"/>
      <c r="G82" s="20">
        <v>197</v>
      </c>
      <c r="H82" s="121">
        <v>0</v>
      </c>
      <c r="I82" s="121">
        <v>0</v>
      </c>
      <c r="J82" s="121">
        <v>0</v>
      </c>
      <c r="K82" s="121">
        <v>0</v>
      </c>
    </row>
    <row r="83" spans="1:11">
      <c r="A83" s="209" t="s">
        <v>187</v>
      </c>
      <c r="B83" s="209"/>
      <c r="C83" s="209"/>
      <c r="D83" s="209"/>
      <c r="E83" s="209"/>
      <c r="F83" s="209"/>
      <c r="G83" s="20">
        <v>198</v>
      </c>
      <c r="H83" s="121">
        <v>0</v>
      </c>
      <c r="I83" s="121">
        <v>0</v>
      </c>
      <c r="J83" s="121">
        <v>0</v>
      </c>
      <c r="K83" s="121">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0</v>
      </c>
      <c r="I89" s="40">
        <v>0</v>
      </c>
      <c r="J89" s="40">
        <v>0</v>
      </c>
      <c r="K89" s="40">
        <v>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36"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20" zoomScaleSheetLayoutView="120" workbookViewId="0">
      <selection activeCell="H59" sqref="H59"/>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454</v>
      </c>
      <c r="B2" s="192"/>
      <c r="C2" s="192"/>
      <c r="D2" s="192"/>
      <c r="E2" s="192"/>
      <c r="F2" s="192"/>
      <c r="G2" s="192"/>
      <c r="H2" s="192"/>
      <c r="I2" s="192"/>
    </row>
    <row r="3" spans="1:9">
      <c r="A3" s="242" t="s">
        <v>355</v>
      </c>
      <c r="B3" s="243"/>
      <c r="C3" s="243"/>
      <c r="D3" s="243"/>
      <c r="E3" s="243"/>
      <c r="F3" s="243"/>
      <c r="G3" s="243"/>
      <c r="H3" s="243"/>
      <c r="I3" s="243"/>
    </row>
    <row r="4" spans="1:9">
      <c r="A4" s="238" t="s">
        <v>452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1033578</v>
      </c>
      <c r="I8" s="43">
        <v>578467</v>
      </c>
    </row>
    <row r="9" spans="1:9" ht="12.75" customHeight="1">
      <c r="A9" s="247" t="s">
        <v>211</v>
      </c>
      <c r="B9" s="248"/>
      <c r="C9" s="248"/>
      <c r="D9" s="248"/>
      <c r="E9" s="248"/>
      <c r="F9" s="249"/>
      <c r="G9" s="25">
        <v>2</v>
      </c>
      <c r="H9" s="44">
        <f>H10+H11+H12+H13+H14+H15+H16+H17</f>
        <v>1526435</v>
      </c>
      <c r="I9" s="44">
        <f>I10+I11+I12+I13+I14+I15+I16+I17</f>
        <v>1539547</v>
      </c>
    </row>
    <row r="10" spans="1:9" ht="12.75" customHeight="1">
      <c r="A10" s="239" t="s">
        <v>212</v>
      </c>
      <c r="B10" s="240"/>
      <c r="C10" s="240"/>
      <c r="D10" s="240"/>
      <c r="E10" s="240"/>
      <c r="F10" s="241"/>
      <c r="G10" s="26">
        <v>3</v>
      </c>
      <c r="H10" s="45">
        <v>1526435</v>
      </c>
      <c r="I10" s="45">
        <v>1539547</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2560013</v>
      </c>
      <c r="I18" s="44">
        <f>I8+I9</f>
        <v>2118014</v>
      </c>
    </row>
    <row r="19" spans="1:9" ht="12.75" customHeight="1">
      <c r="A19" s="247" t="s">
        <v>220</v>
      </c>
      <c r="B19" s="248"/>
      <c r="C19" s="248"/>
      <c r="D19" s="248"/>
      <c r="E19" s="248"/>
      <c r="F19" s="249"/>
      <c r="G19" s="25">
        <v>12</v>
      </c>
      <c r="H19" s="44">
        <f>H20+H21+H22+H23</f>
        <v>-1678906</v>
      </c>
      <c r="I19" s="44">
        <f>I20+I21+I22+I23</f>
        <v>-1957748</v>
      </c>
    </row>
    <row r="20" spans="1:9" ht="12.75" customHeight="1">
      <c r="A20" s="239" t="s">
        <v>221</v>
      </c>
      <c r="B20" s="240"/>
      <c r="C20" s="240"/>
      <c r="D20" s="240"/>
      <c r="E20" s="240"/>
      <c r="F20" s="241"/>
      <c r="G20" s="26">
        <v>13</v>
      </c>
      <c r="H20" s="45">
        <v>459393</v>
      </c>
      <c r="I20" s="45">
        <f>441598-2690133</f>
        <v>-2248535</v>
      </c>
    </row>
    <row r="21" spans="1:9" ht="12.75" customHeight="1">
      <c r="A21" s="239" t="s">
        <v>222</v>
      </c>
      <c r="B21" s="240"/>
      <c r="C21" s="240"/>
      <c r="D21" s="240"/>
      <c r="E21" s="240"/>
      <c r="F21" s="241"/>
      <c r="G21" s="26">
        <v>14</v>
      </c>
      <c r="H21" s="45">
        <v>-3265437</v>
      </c>
      <c r="I21" s="45">
        <v>-106485</v>
      </c>
    </row>
    <row r="22" spans="1:9" ht="12.75" customHeight="1">
      <c r="A22" s="239" t="s">
        <v>223</v>
      </c>
      <c r="B22" s="240"/>
      <c r="C22" s="240"/>
      <c r="D22" s="240"/>
      <c r="E22" s="240"/>
      <c r="F22" s="241"/>
      <c r="G22" s="26">
        <v>15</v>
      </c>
      <c r="H22" s="45">
        <v>-202797</v>
      </c>
      <c r="I22" s="45">
        <v>362052</v>
      </c>
    </row>
    <row r="23" spans="1:9" ht="12.75" customHeight="1">
      <c r="A23" s="239" t="s">
        <v>224</v>
      </c>
      <c r="B23" s="240"/>
      <c r="C23" s="240"/>
      <c r="D23" s="240"/>
      <c r="E23" s="240"/>
      <c r="F23" s="241"/>
      <c r="G23" s="26">
        <v>16</v>
      </c>
      <c r="H23" s="45">
        <v>1329935</v>
      </c>
      <c r="I23" s="45">
        <f>578467-684800+141553</f>
        <v>35220</v>
      </c>
    </row>
    <row r="24" spans="1:9" ht="12.75" customHeight="1">
      <c r="A24" s="244" t="s">
        <v>225</v>
      </c>
      <c r="B24" s="245"/>
      <c r="C24" s="245"/>
      <c r="D24" s="245"/>
      <c r="E24" s="245"/>
      <c r="F24" s="246"/>
      <c r="G24" s="25">
        <v>17</v>
      </c>
      <c r="H24" s="44">
        <f>H18+H19</f>
        <v>881107</v>
      </c>
      <c r="I24" s="44">
        <f>I18+I19</f>
        <v>160266</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881107</v>
      </c>
      <c r="I27" s="46">
        <f>I24+I25+I26</f>
        <v>160266</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-896440</v>
      </c>
      <c r="I36" s="48">
        <v>-105379</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-896440</v>
      </c>
      <c r="I41" s="49">
        <f>I36+I37+I38+I39+I40</f>
        <v>-105379</v>
      </c>
    </row>
    <row r="42" spans="1:9" ht="29.45" customHeight="1">
      <c r="A42" s="262" t="s">
        <v>243</v>
      </c>
      <c r="B42" s="263"/>
      <c r="C42" s="263"/>
      <c r="D42" s="263"/>
      <c r="E42" s="263"/>
      <c r="F42" s="264"/>
      <c r="G42" s="27">
        <v>34</v>
      </c>
      <c r="H42" s="50">
        <f>H35+H41</f>
        <v>-896440</v>
      </c>
      <c r="I42" s="50">
        <f>I35+I41</f>
        <v>-105379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-15333</v>
      </c>
      <c r="I57" s="49">
        <f>I27+I42+I55+I56</f>
        <v>54887</v>
      </c>
    </row>
    <row r="58" spans="1:9">
      <c r="A58" s="268" t="s">
        <v>258</v>
      </c>
      <c r="B58" s="269"/>
      <c r="C58" s="269"/>
      <c r="D58" s="269"/>
      <c r="E58" s="269"/>
      <c r="F58" s="270"/>
      <c r="G58" s="26">
        <v>49</v>
      </c>
      <c r="H58" s="48">
        <v>264491</v>
      </c>
      <c r="I58" s="48">
        <v>59618</v>
      </c>
    </row>
    <row r="59" spans="1:9" ht="31.15" customHeight="1">
      <c r="A59" s="262" t="s">
        <v>259</v>
      </c>
      <c r="B59" s="263"/>
      <c r="C59" s="263"/>
      <c r="D59" s="263"/>
      <c r="E59" s="263"/>
      <c r="F59" s="264"/>
      <c r="G59" s="27">
        <v>50</v>
      </c>
      <c r="H59" s="50">
        <f>H57+H58</f>
        <v>249158</v>
      </c>
      <c r="I59" s="50">
        <f>I57+I58</f>
        <v>114505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2">
        <v>0</v>
      </c>
      <c r="I37" s="52">
        <v>0</v>
      </c>
    </row>
    <row r="38" spans="1:9">
      <c r="A38" s="271" t="s">
        <v>289</v>
      </c>
      <c r="B38" s="271"/>
      <c r="C38" s="271"/>
      <c r="D38" s="271"/>
      <c r="E38" s="271"/>
      <c r="F38" s="271"/>
      <c r="G38" s="30">
        <v>29</v>
      </c>
      <c r="H38" s="52">
        <v>0</v>
      </c>
      <c r="I38" s="52">
        <v>0</v>
      </c>
    </row>
    <row r="39" spans="1:9">
      <c r="A39" s="271" t="s">
        <v>290</v>
      </c>
      <c r="B39" s="271"/>
      <c r="C39" s="271"/>
      <c r="D39" s="271"/>
      <c r="E39" s="271"/>
      <c r="F39" s="271"/>
      <c r="G39" s="30">
        <v>30</v>
      </c>
      <c r="H39" s="52">
        <v>0</v>
      </c>
      <c r="I39" s="52">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topLeftCell="N43" zoomScale="140" zoomScaleSheetLayoutView="140" workbookViewId="0">
      <selection activeCell="N46" sqref="N46:Q46"/>
    </sheetView>
  </sheetViews>
  <sheetFormatPr defaultRowHeight="12.75"/>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43831</v>
      </c>
      <c r="F2" s="4" t="s">
        <v>0</v>
      </c>
      <c r="G2" s="10">
        <v>43921</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50315800</v>
      </c>
      <c r="I7" s="65">
        <v>0</v>
      </c>
      <c r="J7" s="65">
        <v>20357</v>
      </c>
      <c r="K7" s="65">
        <v>4308951</v>
      </c>
      <c r="L7" s="65">
        <v>2526584</v>
      </c>
      <c r="M7" s="65">
        <v>0</v>
      </c>
      <c r="N7" s="65">
        <v>0</v>
      </c>
      <c r="O7" s="65">
        <v>0</v>
      </c>
      <c r="P7" s="65">
        <v>0</v>
      </c>
      <c r="Q7" s="65">
        <v>0</v>
      </c>
      <c r="R7" s="65">
        <v>0</v>
      </c>
      <c r="S7" s="65">
        <v>386790</v>
      </c>
      <c r="T7" s="65">
        <v>3263540</v>
      </c>
      <c r="U7" s="66">
        <f>H7+I7+J7+K7-L7+M7+N7+O7+P7+Q7+R7+S7+T7</f>
        <v>55768854</v>
      </c>
      <c r="V7" s="65">
        <v>0</v>
      </c>
      <c r="W7" s="66">
        <f>U7+V7</f>
        <v>55768854</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c r="W9" s="66">
        <f t="shared" si="1"/>
        <v>0</v>
      </c>
    </row>
    <row r="10" spans="1:23" ht="24" customHeight="1">
      <c r="A10" s="288" t="s">
        <v>375</v>
      </c>
      <c r="B10" s="288"/>
      <c r="C10" s="288"/>
      <c r="D10" s="288"/>
      <c r="E10" s="288"/>
      <c r="F10" s="288"/>
      <c r="G10" s="7">
        <v>4</v>
      </c>
      <c r="H10" s="66">
        <f>H7+H8+H9</f>
        <v>50315800</v>
      </c>
      <c r="I10" s="66">
        <f t="shared" ref="I10:W10" si="2">I7+I8+I9</f>
        <v>0</v>
      </c>
      <c r="J10" s="66">
        <f t="shared" si="2"/>
        <v>20357</v>
      </c>
      <c r="K10" s="66">
        <f>K7+K8+K9</f>
        <v>4308951</v>
      </c>
      <c r="L10" s="66">
        <f t="shared" si="2"/>
        <v>2526584</v>
      </c>
      <c r="M10" s="66">
        <f t="shared" si="2"/>
        <v>0</v>
      </c>
      <c r="N10" s="66">
        <f t="shared" si="2"/>
        <v>0</v>
      </c>
      <c r="O10" s="66">
        <f t="shared" si="2"/>
        <v>0</v>
      </c>
      <c r="P10" s="66">
        <f t="shared" si="2"/>
        <v>0</v>
      </c>
      <c r="Q10" s="66">
        <f t="shared" si="2"/>
        <v>0</v>
      </c>
      <c r="R10" s="66">
        <f t="shared" si="2"/>
        <v>0</v>
      </c>
      <c r="S10" s="66">
        <f t="shared" si="2"/>
        <v>386790</v>
      </c>
      <c r="T10" s="66">
        <f t="shared" si="2"/>
        <v>3263540</v>
      </c>
      <c r="U10" s="66">
        <f t="shared" si="2"/>
        <v>55768854</v>
      </c>
      <c r="V10" s="66">
        <f t="shared" si="2"/>
        <v>0</v>
      </c>
      <c r="W10" s="66">
        <f t="shared" si="2"/>
        <v>55768854</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386790</v>
      </c>
      <c r="T29" s="68">
        <f t="shared" si="5"/>
        <v>3263540</v>
      </c>
      <c r="U29" s="68">
        <f t="shared" si="5"/>
        <v>55768854</v>
      </c>
      <c r="V29" s="68">
        <f t="shared" si="5"/>
        <v>0</v>
      </c>
      <c r="W29" s="68">
        <f t="shared" si="5"/>
        <v>55768854</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50315800</v>
      </c>
      <c r="I35" s="65">
        <v>0</v>
      </c>
      <c r="J35" s="65">
        <v>20357</v>
      </c>
      <c r="K35" s="65">
        <v>4308951</v>
      </c>
      <c r="L35" s="65">
        <v>2526584</v>
      </c>
      <c r="M35" s="65">
        <v>0</v>
      </c>
      <c r="N35" s="65">
        <v>0</v>
      </c>
      <c r="O35" s="65">
        <v>0</v>
      </c>
      <c r="P35" s="65">
        <v>0</v>
      </c>
      <c r="Q35" s="65">
        <v>0</v>
      </c>
      <c r="R35" s="65">
        <v>0</v>
      </c>
      <c r="S35" s="65">
        <v>3650330</v>
      </c>
      <c r="T35" s="65">
        <v>578467</v>
      </c>
      <c r="U35" s="69">
        <f t="shared" ref="U35:U37" si="9">H35+I35+J35+K35-L35+M35+N35+O35+P35+Q35+R35+S35+T35</f>
        <v>56347321</v>
      </c>
      <c r="V35" s="65">
        <v>0</v>
      </c>
      <c r="W35" s="69">
        <f t="shared" ref="W35:W37" si="10">U35+V35</f>
        <v>56347321</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3650330</v>
      </c>
      <c r="T38" s="69">
        <f t="shared" si="11"/>
        <v>578467</v>
      </c>
      <c r="U38" s="69">
        <f t="shared" si="11"/>
        <v>56347321</v>
      </c>
      <c r="V38" s="69">
        <f t="shared" si="11"/>
        <v>0</v>
      </c>
      <c r="W38" s="69">
        <f t="shared" si="11"/>
        <v>56347321</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H48+I48+J48+K48-L48+M48+N48+O48+P48+Q48+R48+S48+T48</f>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3650330</v>
      </c>
      <c r="T57" s="70">
        <f t="shared" si="14"/>
        <v>578467</v>
      </c>
      <c r="U57" s="70">
        <f t="shared" si="14"/>
        <v>56347321</v>
      </c>
      <c r="V57" s="70">
        <f t="shared" si="14"/>
        <v>0</v>
      </c>
      <c r="W57" s="70">
        <f t="shared" si="14"/>
        <v>56347321</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SUM(P40:P48)</f>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2020-08-11T10:20:45Z</cp:lastPrinted>
  <dcterms:created xsi:type="dcterms:W3CDTF">2008-10-17T11:51:54Z</dcterms:created>
  <dcterms:modified xsi:type="dcterms:W3CDTF">2020-08-11T10:20:58Z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