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06-30 Javna objava ZTK\"/>
    </mc:Choice>
  </mc:AlternateContent>
  <xr:revisionPtr revIDLastSave="0" documentId="13_ncr:1_{321C6619-966A-4F0B-B5C1-8E5B14110A43}" xr6:coauthVersionLast="36" xr6:coauthVersionMax="36" xr10:uidLastSave="{00000000-0000-0000-0000-000000000000}"/>
  <bookViews>
    <workbookView xWindow="0" yWindow="0" windowWidth="15255" windowHeight="1081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S27" i="22" l="1"/>
  <c r="T39" i="22" l="1"/>
  <c r="I10" i="20"/>
  <c r="I14" i="20"/>
  <c r="I8" i="20"/>
  <c r="I20" i="20"/>
  <c r="I17" i="20"/>
  <c r="I113" i="18"/>
  <c r="I129" i="18"/>
  <c r="I121" i="18"/>
  <c r="I109" i="18"/>
  <c r="I94" i="18"/>
  <c r="I21" i="18"/>
  <c r="I19" i="18"/>
  <c r="J52" i="19"/>
  <c r="J51" i="19"/>
  <c r="J24" i="19"/>
  <c r="J19" i="19"/>
  <c r="I53" i="20" l="1"/>
  <c r="I21" i="20" l="1"/>
  <c r="H26" i="20"/>
  <c r="H8" i="20"/>
  <c r="Q43" i="22" l="1"/>
  <c r="T55" i="22"/>
  <c r="K94" i="19"/>
  <c r="K93" i="19"/>
  <c r="K55" i="19"/>
  <c r="K52" i="19"/>
  <c r="K51" i="19"/>
  <c r="K47" i="19"/>
  <c r="K45" i="19"/>
  <c r="K44" i="19"/>
  <c r="K36" i="19"/>
  <c r="K25" i="19"/>
  <c r="K24" i="19"/>
  <c r="K23" i="19"/>
  <c r="K22" i="19"/>
  <c r="K21" i="19"/>
  <c r="K19" i="19"/>
  <c r="K17" i="19"/>
  <c r="K13" i="19"/>
  <c r="K10" i="19"/>
  <c r="I104" i="19"/>
  <c r="H104" i="19"/>
  <c r="I94" i="19"/>
  <c r="I93" i="19"/>
  <c r="I52" i="19"/>
  <c r="I55" i="19"/>
  <c r="I51" i="19"/>
  <c r="I44" i="19"/>
  <c r="I45" i="19"/>
  <c r="I36" i="19"/>
  <c r="I28" i="19"/>
  <c r="I25" i="19"/>
  <c r="I24" i="19"/>
  <c r="I23" i="19"/>
  <c r="I22" i="19"/>
  <c r="I21" i="19"/>
  <c r="I19" i="19"/>
  <c r="I17" i="19"/>
  <c r="I13" i="19"/>
  <c r="I10" i="19"/>
  <c r="H51" i="19"/>
  <c r="H55" i="19"/>
  <c r="H44" i="19"/>
  <c r="C29" i="25" l="1"/>
  <c r="I18" i="19" l="1"/>
  <c r="I11" i="19"/>
  <c r="I12" i="19"/>
  <c r="K50" i="19"/>
  <c r="K53" i="19"/>
  <c r="K54" i="19"/>
  <c r="K56" i="19"/>
  <c r="K57" i="19"/>
  <c r="K58" i="19"/>
  <c r="K59" i="19"/>
  <c r="K49" i="19"/>
  <c r="K46" i="19"/>
  <c r="K11" i="19"/>
  <c r="K12" i="19"/>
  <c r="K9" i="19"/>
  <c r="H35" i="18" l="1"/>
  <c r="H34" i="18"/>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24" i="20"/>
  <c r="I27" i="20" s="1"/>
  <c r="I75" i="18"/>
  <c r="I131" i="18" s="1"/>
  <c r="J60" i="19"/>
  <c r="K60" i="19"/>
  <c r="K14" i="19"/>
  <c r="K61" i="19" s="1"/>
  <c r="H61" i="19"/>
  <c r="I47" i="21"/>
  <c r="I49" i="21" s="1"/>
  <c r="I51" i="21" s="1"/>
  <c r="W61" i="22"/>
  <c r="I44" i="18"/>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I57" i="20"/>
  <c r="I59" i="20" s="1"/>
  <c r="J63" i="19"/>
  <c r="K62" i="19"/>
  <c r="K67" i="19" s="1"/>
  <c r="K63" i="19"/>
  <c r="H64" i="19"/>
  <c r="I63" i="19"/>
  <c r="I64" i="19"/>
  <c r="I62" i="19"/>
  <c r="I72" i="18"/>
  <c r="H62" i="19"/>
  <c r="H66" i="19" s="1"/>
  <c r="H63" i="19"/>
  <c r="J62" i="19"/>
  <c r="J66" i="19" s="1"/>
  <c r="J64" i="19"/>
  <c r="H89" i="19" l="1"/>
  <c r="H101" i="19" s="1"/>
  <c r="H86" i="19"/>
  <c r="H85" i="19" s="1"/>
  <c r="J86" i="19"/>
  <c r="K86" i="19" s="1"/>
  <c r="J89" i="19"/>
  <c r="J101" i="19" s="1"/>
  <c r="J104" i="19" s="1"/>
  <c r="J103" i="19" s="1"/>
  <c r="K68" i="19"/>
  <c r="K66" i="19"/>
  <c r="H67" i="19"/>
  <c r="I67" i="19"/>
  <c r="I66" i="19"/>
  <c r="H18" i="20" s="1"/>
  <c r="H24" i="20" s="1"/>
  <c r="H27" i="20" s="1"/>
  <c r="H57" i="20" s="1"/>
  <c r="H59" i="20" s="1"/>
  <c r="I68" i="19"/>
  <c r="H68" i="19"/>
  <c r="J67" i="19"/>
  <c r="J68" i="19"/>
  <c r="I89" i="19" l="1"/>
  <c r="I101" i="19" s="1"/>
  <c r="I86" i="19"/>
  <c r="I85" i="19" s="1"/>
  <c r="J85" i="19"/>
  <c r="K85" i="19"/>
  <c r="K89" i="19"/>
  <c r="K101" i="19" s="1"/>
  <c r="K104" i="19" l="1"/>
  <c r="K103" i="19" s="1"/>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<sst xmlns="http://schemas.openxmlformats.org/spreadsheetml/2006/main" count="525" uniqueCount="460">
  <si>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</si>
  <si>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</si>
  <si>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</si>
  <si>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</si>
  <si>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</si>
  <si>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</si>
  <si>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</si>
  <si>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</si>
  <si>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</si>
  <si>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</si>
  <si>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</si>
  <si>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</si>
  <si>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</si>
  <si>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</si>
  <si>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</si>
  <si>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</si>
  <si>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</si>
  <si>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</si>
  <si>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</si>
  <si>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</si>
  <si>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</si>
  <si>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</si>
  <si>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</si>
  <si>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</si>
  <si>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</si>
  <si>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</si>
  <si>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</si>
  <si>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</si>
  <si>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</si>
  <si>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</si>
  <si>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</si>
  <si>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</si>
  <si>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</si>
  <si>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</si>
  <si>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</si>
  <si>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</si>
  <si>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</si>
  <si>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</si>
  <si>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</si>
  <si>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</si>
  <si>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</si>
  <si>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</si>
  <si>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</si>
  <si>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</si>
  <si>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</si>
  <si>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</si>
  <si>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</si>
  <si>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</si>
  <si>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</si>
  <si>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</si>
  <si>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</si>
  <si>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</si>
  <si>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</si>
  <si>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</si>
  <si>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</si>
  <si>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</si>
  <si>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</si>
  <si>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</si>
  <si>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</si>
  <si>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</si>
  <si>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</si>
  <si>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</si>
  <si>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</si>
  <si>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</si>
  <si>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</si>
  <si>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</si>
  <si>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</si>
  <si>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</si>
  <si>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</si>
  <si>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</si>
  <si>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</si>
  <si>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</si>
  <si>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</si>
  <si>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</si>
  <si>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</si>
  <si>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</si>
  <si>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</si>
  <si>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</si>
  <si>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</si>
  <si>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</si>
  <si>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</si>
  <si>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</si>
  <si>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</si>
  <si>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</si>
  <si>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</si>
  <si>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</si>
  <si>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</si>
  <si>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</si>
  <si>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</si>
  <si>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</si>
  <si>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</si>
  <si>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</si>
  <si>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</si>
  <si>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</si>
  <si>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</si>
  <si>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</si>
  <si>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</si>
  <si>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</si>
  <si>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</si>
  <si>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</si>
  <si>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</si>
  <si>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</si>
  <si>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</si>
  <si>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</si>
  <si>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</si>
  <si>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</si>
  <si>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</si>
  <si>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</si>
  <si>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</si>
  <si>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</si>
  <si>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</si>
  <si>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</si>
  <si>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</si>
  <si>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</si>
  <si>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</si>
  <si>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</si>
  <si>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</si>
  <si>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</si>
  <si>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</si>
  <si>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</si>
  <si>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</si>
  <si>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</si>
  <si>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</si>
  <si>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</si>
  <si>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</si>
  <si>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</si>
  <si>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</si>
  <si>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</si>
  <si>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</si>
  <si>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</si>
  <si>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</si>
  <si>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</si>
  <si>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</si>
  <si>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</si>
  <si>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</si>
  <si>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</si>
  <si>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</si>
  <si>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</si>
  <si>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</si>
  <si>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</si>
  <si>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</si>
  <si>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</si>
  <si>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</si>
  <si>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</si>
  <si>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</si>
  <si>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</si>
  <si>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</si>
  <si>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</si>
  <si>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</si>
  <si>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</si>
  <si>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</si>
  <si>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</si>
  <si>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</si>
  <si>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</si>
  <si>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</si>
  <si>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</si>
  <si>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</si>
  <si>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</si>
  <si>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</si>
  <si>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</si>
  <si>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</si>
  <si>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</si>
  <si>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</si>
  <si>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</si>
  <si>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</si>
  <si>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</si>
  <si>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</si>
  <si>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</si>
  <si>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</si>
  <si>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</si>
  <si>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</si>
  <si>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</si>
  <si>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</si>
  <si>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</si>
  <si>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</si>
  <si>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</si>
  <si>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</si>
  <si>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</si>
  <si>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</si>
  <si>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</si>
  <si>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</si>
  <si>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</si>
  <si>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</si>
  <si>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</si>
  <si>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</si>
  <si>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</si>
  <si>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</si>
  <si>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</si>
  <si>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</si>
  <si>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</si>
  <si>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</si>
  <si>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</si>
  <si>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</si>
  <si>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</si>
  <si>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</si>
  <si>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</si>
  <si>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</si>
  <si>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</si>
  <si>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</si>
  <si>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</si>
  <si>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</si>
  <si>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</si>
  <si>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</si>
  <si>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</si>
  <si>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</si>
  <si>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</si>
  <si>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</si>
  <si>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</si>
  <si>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</si>
  <si>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</si>
  <si>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</si>
  <si>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</si>
  <si>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</si>
  <si>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</si>
  <si>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</si>
  <si>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</si>
  <si>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</si>
  <si>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</si>
  <si>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</si>
  <si>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</si>
  <si>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</si>
  <si>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</si>
  <si>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</si>
  <si>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</si>
  <si>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</si>
  <si>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</si>
  <si>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</si>
  <si>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</si>
  <si>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</si>
  <si>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</si>
  <si>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</si>
  <si>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</si>
  <si>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</si>
  <si>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</si>
  <si>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</si>
  <si>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</si>
  <si>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</si>
  <si>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</si>
  <si>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</si>
  <si>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</si>
  <si>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</si>
  <si>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</si>
  <si>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</si>
  <si>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</si>
  <si>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</si>
  <si>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</si>
  <si>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</si>
  <si>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</si>
  <si>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</si>
  <si>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</si>
  <si>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</si>
  <si>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</si>
  <si>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</si>
  <si>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</si>
  <si>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</si>
  <si>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</si>
  <si>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</si>
  <si>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</si>
  <si>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</si>
  <si>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</si>
  <si>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</si>
  <si>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</si>
  <si>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</si>
  <si>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</si>
  <si>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</si>
  <si>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</si>
  <si>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</si>
  <si>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</si>
  <si>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</si>
  <si>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</si>
  <si>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</si>
  <si>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</si>
  <si>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</si>
  <si>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</si>
  <si>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</si>
  <si>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</si>
  <si>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</si>
  <si>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</si>
  <si>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</si>
  <si>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</si>
  <si>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</si>
  <si>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</si>
  <si>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</si>
  <si>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</si>
  <si>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</si>
  <si>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</si>
  <si>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</si>
  <si>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</si>
  <si>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</si>
  <si>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</si>
  <si>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</si>
  <si>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</si>
  <si>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</si>
  <si>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</si>
  <si>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</si>
  <si>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</si>
  <si>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</si>
  <si>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</si>
  <si>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</si>
  <si>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</si>
  <si>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</si>
  <si>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</si>
  <si>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</si>
  <si>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</si>
  <si>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</si>
  <si>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</si>
  <si>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</si>
  <si>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</si>
  <si>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</si>
  <si>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</si>
  <si>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</si>
  <si>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</si>
  <si>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</si>
  <si>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</si>
  <si>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</si>
  <si>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</si>
  <si>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</si>
  <si>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</si>
  <si>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</si>
  <si>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</si>
  <si>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</si>
  <si>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</si>
  <si>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</si>
  <si>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</si>
  <si>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</si>
  <si>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</si>
  <si>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</si>
  <si>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</si>
  <si>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</si>
  <si>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</si>
  <si>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</si>
  <si>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</si>
  <si>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</si>
  <si>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</si>
  <si>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</si>
  <si>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</si>
  <si>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</si>
  <si>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</si>
  <si>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</si>
  <si>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</si>
  <si>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</si>
  <si>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</si>
  <si>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</si>
  <si>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</si>
  <si>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</si>
  <si>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</si>
  <si>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</si>
  <si>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</si>
  <si>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</si>
  <si>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</si>
  <si>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</si>
  <si>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</si>
  <si>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</si>
  <si>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</si>
  <si>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</si>
  <si>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</si>
  <si>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</si>
  <si>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</si>
  <si>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</si>
  <si>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</si>
  <si>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</si>
  <si>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</si>
  <si>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</si>
  <si>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</si>
  <si>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</si>
  <si>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</si>
  <si>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</si>
  <si>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</si>
  <si>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</si>
  <si>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</si>
  <si>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</si>
  <si>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</si>
  <si>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</si>
  <si>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</si>
  <si>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</si>
  <si>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</si>
  <si>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</si>
  <si>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</si>
  <si>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</si>
  <si>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</si>
  <si>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</si>
  <si>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</si>
  <si>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</si>
  <si>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</si>
  <si>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</si>
  <si>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</si>
  <si>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</si>
  <si>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</si>
  <si>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</si>
  <si>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</si>
  <si>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</si>
  <si>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</si>
  <si>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</si>
  <si>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</si>
  <si>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</si>
  <si>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</si>
  <si>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</si>
  <si>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</si>
  <si>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</si>
  <si>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</si>
  <si>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</si>
  <si>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</si>
  <si>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</si>
  <si>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</si>
  <si>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</si>
  <si>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</si>
  <si>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</si>
  <si>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</si>
  <si>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</si>
  <si>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</si>
  <si>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</si>
  <si>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</si>
  <si>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</si>
  <si>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</si>
  <si>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</si>
  <si>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</si>
  <si>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</si>
  <si>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</si>
  <si>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</si>
  <si>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</si>
  <si>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</si>
  <si>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</si>
  <si>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</si>
  <si>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</si>
  <si>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</si>
  <si>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</si>
  <si>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</si>
  <si>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</si>
  <si>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</si>
  <si>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</si>
  <si>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</si>
  <si>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</si>
  <si>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</si>
  <si>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</si>
  <si>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</si>
  <si>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</si>
  <si>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</si>
  <si>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</si>
  <si>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</si>
  <si>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</si>
  <si>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</si>
  <si>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</si>
  <si>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</si>
  <si>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</si>
  <si>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</si>
  <si>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</si>
  <si>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</si>
  <si>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</si>
  <si>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</si>
  <si>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</si>
  <si>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</si>
  <si>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</si>
  <si>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</si>
  <si>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</si>
  <si>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</si>
  <si>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</si>
  <si>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30.06.2019.</t>
  </si>
  <si>
    <t>stanje na dan 30.06.2019.</t>
  </si>
  <si>
    <t>u razdoblju 01.01.2019. do 30.06.2019.</t>
  </si>
  <si>
    <t xml:space="preserve">BILJEŠKE UZ KONSOLIDIRANE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lipanj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iizmeđu ukupno priznate imovine i obveza odnosi se na unaprijed paćene najamnine u 2018. godini koja se odnosi na razdoblje najma nakon 1.1.2019. godine. Učinak primjene novog standarda u promatranom razdoblju iznosi 7,6 milijuna kuna na teret Računa dobiti i gubitka za koliko su se povećali ukupni troškovi u odnosu na dosadašnji računovodstveni tretman najmova.
Ostale bilješke sastavni su dio Izvješća poslovodstva o stanju Društva za razdoblje I.-VI. i za II. kvartal 2019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</si>
</sst>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9941C327-C396-4064-A95B-7200D09FFC3F}"/>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3" sqref="C33"/>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2">
        <v>1</v>
      </c>
    </row>
    <row r="3" spans="1:20" x14ac:dyDescent="0.25">
      <c r="A3" s="74"/>
      <c r="B3" s="75"/>
      <c r="C3" s="75"/>
      <c r="D3" s="75"/>
      <c r="E3" s="75"/>
      <c r="F3" s="75"/>
      <c r="G3" s="75"/>
      <c r="H3" s="75"/>
      <c r="I3" s="75"/>
      <c r="J3" s="76"/>
      <c r="N3" s="122">
        <v>2</v>
      </c>
    </row>
    <row r="4" spans="1:20" ht="33.6" customHeight="1" x14ac:dyDescent="0.25">
      <c r="A4" s="182" t="s">
        <v>392</v>
      </c>
      <c r="B4" s="183"/>
      <c r="C4" s="183"/>
      <c r="D4" s="183"/>
      <c r="E4" s="184" t="s">
        <v>434</v>
      </c>
      <c r="F4" s="185"/>
      <c r="G4" s="77" t="s">
        <v>0</v>
      </c>
      <c r="H4" s="184" t="s">
        <v>456</v>
      </c>
      <c r="I4" s="185"/>
      <c r="J4" s="78"/>
      <c r="N4" s="122">
        <v>3</v>
      </c>
    </row>
    <row r="5" spans="1:20" s="79" customFormat="1" ht="10.15" customHeight="1" x14ac:dyDescent="0.25">
      <c r="A5" s="186"/>
      <c r="B5" s="187"/>
      <c r="C5" s="187"/>
      <c r="D5" s="187"/>
      <c r="E5" s="187"/>
      <c r="F5" s="187"/>
      <c r="G5" s="187"/>
      <c r="H5" s="187"/>
      <c r="I5" s="187"/>
      <c r="J5" s="188"/>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3" t="s">
        <v>416</v>
      </c>
      <c r="B10" s="174"/>
      <c r="C10" s="174"/>
      <c r="D10" s="174"/>
      <c r="E10" s="174"/>
      <c r="F10" s="174"/>
      <c r="G10" s="174"/>
      <c r="H10" s="174"/>
      <c r="I10" s="174"/>
      <c r="J10" s="90"/>
    </row>
    <row r="11" spans="1:20" ht="24.6" customHeight="1" x14ac:dyDescent="0.25">
      <c r="A11" s="157" t="s">
        <v>393</v>
      </c>
      <c r="B11" s="175"/>
      <c r="C11" s="163" t="s">
        <v>435</v>
      </c>
      <c r="D11" s="164"/>
      <c r="E11" s="91"/>
      <c r="F11" s="129" t="s">
        <v>417</v>
      </c>
      <c r="G11" s="167"/>
      <c r="H11" s="145" t="s">
        <v>436</v>
      </c>
      <c r="I11" s="146"/>
      <c r="J11" s="92"/>
    </row>
    <row r="12" spans="1:20" ht="14.45" customHeight="1" x14ac:dyDescent="0.25">
      <c r="A12" s="93"/>
      <c r="B12" s="94"/>
      <c r="C12" s="94"/>
      <c r="D12" s="94"/>
      <c r="E12" s="176"/>
      <c r="F12" s="176"/>
      <c r="G12" s="176"/>
      <c r="H12" s="176"/>
      <c r="I12" s="95"/>
      <c r="J12" s="92"/>
    </row>
    <row r="13" spans="1:20" ht="21" customHeight="1" x14ac:dyDescent="0.25">
      <c r="A13" s="128" t="s">
        <v>408</v>
      </c>
      <c r="B13" s="167"/>
      <c r="C13" s="163" t="s">
        <v>438</v>
      </c>
      <c r="D13" s="164"/>
      <c r="E13" s="189"/>
      <c r="F13" s="176"/>
      <c r="G13" s="176"/>
      <c r="H13" s="176"/>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8" t="s">
        <v>439</v>
      </c>
      <c r="D15" s="169"/>
      <c r="E15" s="170"/>
      <c r="F15" s="159"/>
      <c r="G15" s="97" t="s">
        <v>418</v>
      </c>
      <c r="H15" s="171" t="s">
        <v>437</v>
      </c>
      <c r="I15" s="172"/>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448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10010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f>1018+18+8</f>
        <v>1044</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422</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449</v>
      </c>
      <c r="B37" s="152"/>
      <c r="C37" s="152"/>
      <c r="D37" s="152"/>
      <c r="E37" s="151" t="s">
        <v>451</v>
      </c>
      <c r="F37" s="152"/>
      <c r="G37" s="152"/>
      <c r="H37" s="152"/>
      <c r="I37" s="153"/>
      <c r="J37" s="127" t="s">
        <v>453</v>
      </c>
    </row>
    <row r="38" spans="1:10" x14ac:dyDescent="0.25">
      <c r="A38" s="93"/>
      <c r="B38" s="94"/>
      <c r="C38" s="101"/>
      <c r="D38" s="155"/>
      <c r="E38" s="155"/>
      <c r="F38" s="155"/>
      <c r="G38" s="155"/>
      <c r="H38" s="155"/>
      <c r="I38" s="155"/>
      <c r="J38" s="96"/>
    </row>
    <row r="39" spans="1:10" x14ac:dyDescent="0.25">
      <c r="A39" s="151" t="s">
        <v>450</v>
      </c>
      <c r="B39" s="152"/>
      <c r="C39" s="152"/>
      <c r="D39" s="153"/>
      <c r="E39" s="151" t="s">
        <v>452</v>
      </c>
      <c r="F39" s="152"/>
      <c r="G39" s="152"/>
      <c r="H39" s="152"/>
      <c r="I39" s="153"/>
      <c r="J39" s="127" t="s">
        <v>454</v>
      </c>
    </row>
    <row r="40" spans="1:10" x14ac:dyDescent="0.25">
      <c r="A40" s="93"/>
      <c r="B40" s="94"/>
      <c r="C40" s="101"/>
      <c r="D40" s="111"/>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1"/>
      <c r="E42" s="155"/>
      <c r="F42" s="155"/>
      <c r="G42" s="155"/>
      <c r="H42" s="155"/>
      <c r="I42" s="95"/>
      <c r="J42" s="96"/>
    </row>
    <row r="43" spans="1:10" x14ac:dyDescent="0.25">
      <c r="A43" s="151"/>
      <c r="B43" s="152"/>
      <c r="C43" s="152"/>
      <c r="D43" s="153"/>
      <c r="E43" s="151"/>
      <c r="F43" s="152"/>
      <c r="G43" s="152"/>
      <c r="H43" s="152"/>
      <c r="I43" s="153"/>
      <c r="J43" s="102"/>
    </row>
    <row r="44" spans="1:10" x14ac:dyDescent="0.25">
      <c r="A44" s="112"/>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2"/>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2"/>
      <c r="B48" s="101"/>
      <c r="C48" s="101"/>
      <c r="D48" s="94"/>
      <c r="E48" s="135"/>
      <c r="F48" s="135"/>
      <c r="G48" s="149"/>
      <c r="H48" s="149"/>
      <c r="I48" s="94"/>
      <c r="J48" s="113" t="s">
        <v>426</v>
      </c>
    </row>
    <row r="49" spans="1:10" x14ac:dyDescent="0.25">
      <c r="A49" s="112"/>
      <c r="B49" s="101"/>
      <c r="C49" s="101"/>
      <c r="D49" s="94"/>
      <c r="E49" s="135"/>
      <c r="F49" s="135"/>
      <c r="G49" s="149"/>
      <c r="H49" s="149"/>
      <c r="I49" s="94"/>
      <c r="J49" s="113" t="s">
        <v>427</v>
      </c>
    </row>
    <row r="50" spans="1:10" ht="14.45" customHeight="1" x14ac:dyDescent="0.25">
      <c r="A50" s="128" t="s">
        <v>403</v>
      </c>
      <c r="B50" s="129"/>
      <c r="C50" s="145" t="s">
        <v>427</v>
      </c>
      <c r="D50" s="146"/>
      <c r="E50" s="147" t="s">
        <v>428</v>
      </c>
      <c r="F50" s="148"/>
      <c r="G50" s="136"/>
      <c r="H50" s="137"/>
      <c r="I50" s="137"/>
      <c r="J50" s="138"/>
    </row>
    <row r="51" spans="1:10" x14ac:dyDescent="0.25">
      <c r="A51" s="112"/>
      <c r="B51" s="101"/>
      <c r="C51" s="149"/>
      <c r="D51" s="149"/>
      <c r="E51" s="135"/>
      <c r="F51" s="135"/>
      <c r="G51" s="150" t="s">
        <v>429</v>
      </c>
      <c r="H51" s="150"/>
      <c r="I51" s="150"/>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447</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70" zoomScaleNormal="100" zoomScaleSheetLayoutView="110" workbookViewId="0">
      <selection activeCell="H21" sqref="H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457</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455</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659319802</v>
      </c>
      <c r="I9" s="34">
        <f>I10+I17+I27+I38+I43</f>
        <v>1143387455</v>
      </c>
    </row>
    <row r="10" spans="1:9" ht="12.75" customHeight="1" x14ac:dyDescent="0.2">
      <c r="A10" s="194" t="s">
        <v>5</v>
      </c>
      <c r="B10" s="194"/>
      <c r="C10" s="194"/>
      <c r="D10" s="194"/>
      <c r="E10" s="194"/>
      <c r="F10" s="194"/>
      <c r="G10" s="16">
        <v>3</v>
      </c>
      <c r="H10" s="34">
        <f>H11+H12+H13+H14+H15+H16</f>
        <v>139422349</v>
      </c>
      <c r="I10" s="34">
        <f>I11+I12+I13+I14+I15+I16</f>
        <v>146251443</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139366849</v>
      </c>
      <c r="I12" s="33">
        <v>146195943</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55500</v>
      </c>
      <c r="I15" s="33">
        <v>55500</v>
      </c>
    </row>
    <row r="16" spans="1:9" ht="12.75" customHeight="1" x14ac:dyDescent="0.2">
      <c r="A16" s="190" t="s">
        <v>11</v>
      </c>
      <c r="B16" s="190"/>
      <c r="C16" s="190"/>
      <c r="D16" s="190"/>
      <c r="E16" s="190"/>
      <c r="F16" s="190"/>
      <c r="G16" s="15">
        <v>9</v>
      </c>
      <c r="H16" s="33">
        <v>0</v>
      </c>
      <c r="I16" s="33">
        <v>0</v>
      </c>
    </row>
    <row r="17" spans="1:9" ht="12.75" customHeight="1" x14ac:dyDescent="0.2">
      <c r="A17" s="194" t="s">
        <v>12</v>
      </c>
      <c r="B17" s="194"/>
      <c r="C17" s="194"/>
      <c r="D17" s="194"/>
      <c r="E17" s="194"/>
      <c r="F17" s="194"/>
      <c r="G17" s="16">
        <v>10</v>
      </c>
      <c r="H17" s="34">
        <f>H18+H19+H20+H21+H22+H23+H24+H25+H26</f>
        <v>495955074</v>
      </c>
      <c r="I17" s="34">
        <f>I18+I19+I20+I21+I22+I23+I24+I25+I26</f>
        <v>973061709</v>
      </c>
    </row>
    <row r="18" spans="1:9" ht="12.75" customHeight="1" x14ac:dyDescent="0.2">
      <c r="A18" s="190" t="s">
        <v>13</v>
      </c>
      <c r="B18" s="190"/>
      <c r="C18" s="190"/>
      <c r="D18" s="190"/>
      <c r="E18" s="190"/>
      <c r="F18" s="190"/>
      <c r="G18" s="15">
        <v>11</v>
      </c>
      <c r="H18" s="33">
        <v>19752892</v>
      </c>
      <c r="I18" s="33">
        <v>19752892</v>
      </c>
    </row>
    <row r="19" spans="1:9" ht="12.75" customHeight="1" x14ac:dyDescent="0.2">
      <c r="A19" s="190" t="s">
        <v>14</v>
      </c>
      <c r="B19" s="190"/>
      <c r="C19" s="190"/>
      <c r="D19" s="190"/>
      <c r="E19" s="190"/>
      <c r="F19" s="190"/>
      <c r="G19" s="15">
        <v>12</v>
      </c>
      <c r="H19" s="33">
        <v>24501326</v>
      </c>
      <c r="I19" s="33">
        <f>35002422+538109</f>
        <v>35540531</v>
      </c>
    </row>
    <row r="20" spans="1:9" ht="12.75" customHeight="1" x14ac:dyDescent="0.2">
      <c r="A20" s="190" t="s">
        <v>15</v>
      </c>
      <c r="B20" s="190"/>
      <c r="C20" s="190"/>
      <c r="D20" s="190"/>
      <c r="E20" s="190"/>
      <c r="F20" s="190"/>
      <c r="G20" s="15">
        <v>13</v>
      </c>
      <c r="H20" s="33">
        <v>76384618</v>
      </c>
      <c r="I20" s="33">
        <v>77773836</v>
      </c>
    </row>
    <row r="21" spans="1:9" ht="12.75" customHeight="1" x14ac:dyDescent="0.2">
      <c r="A21" s="190" t="s">
        <v>16</v>
      </c>
      <c r="B21" s="190"/>
      <c r="C21" s="190"/>
      <c r="D21" s="190"/>
      <c r="E21" s="190"/>
      <c r="F21" s="190"/>
      <c r="G21" s="15">
        <v>14</v>
      </c>
      <c r="H21" s="33">
        <v>303216479</v>
      </c>
      <c r="I21" s="33">
        <f>765691888+208716</f>
        <v>765900604</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54752661</v>
      </c>
      <c r="I23" s="33">
        <v>61948344</v>
      </c>
    </row>
    <row r="24" spans="1:9" ht="12.75" customHeight="1" x14ac:dyDescent="0.2">
      <c r="A24" s="190" t="s">
        <v>19</v>
      </c>
      <c r="B24" s="190"/>
      <c r="C24" s="190"/>
      <c r="D24" s="190"/>
      <c r="E24" s="190"/>
      <c r="F24" s="190"/>
      <c r="G24" s="15">
        <v>17</v>
      </c>
      <c r="H24" s="33">
        <v>15055123</v>
      </c>
      <c r="I24" s="33">
        <v>10165126</v>
      </c>
    </row>
    <row r="25" spans="1:9" ht="12.75" customHeight="1" x14ac:dyDescent="0.2">
      <c r="A25" s="190" t="s">
        <v>20</v>
      </c>
      <c r="B25" s="190"/>
      <c r="C25" s="190"/>
      <c r="D25" s="190"/>
      <c r="E25" s="190"/>
      <c r="F25" s="190"/>
      <c r="G25" s="15">
        <v>18</v>
      </c>
      <c r="H25" s="33">
        <v>1976015</v>
      </c>
      <c r="I25" s="33">
        <v>1945645</v>
      </c>
    </row>
    <row r="26" spans="1:9" ht="12.75" customHeight="1" x14ac:dyDescent="0.2">
      <c r="A26" s="190" t="s">
        <v>21</v>
      </c>
      <c r="B26" s="190"/>
      <c r="C26" s="190"/>
      <c r="D26" s="190"/>
      <c r="E26" s="190"/>
      <c r="F26" s="190"/>
      <c r="G26" s="15">
        <v>19</v>
      </c>
      <c r="H26" s="33">
        <v>315960</v>
      </c>
      <c r="I26" s="33">
        <v>34731</v>
      </c>
    </row>
    <row r="27" spans="1:9" ht="12.75" customHeight="1" x14ac:dyDescent="0.2">
      <c r="A27" s="194" t="s">
        <v>22</v>
      </c>
      <c r="B27" s="194"/>
      <c r="C27" s="194"/>
      <c r="D27" s="194"/>
      <c r="E27" s="194"/>
      <c r="F27" s="194"/>
      <c r="G27" s="16">
        <v>20</v>
      </c>
      <c r="H27" s="34">
        <f>SUM(H28:H37)</f>
        <v>23525735</v>
      </c>
      <c r="I27" s="34">
        <f>SUM(I28:I37)</f>
        <v>23696201</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f>696600+189001</f>
        <v>885601</v>
      </c>
      <c r="I34" s="33">
        <v>947521</v>
      </c>
    </row>
    <row r="35" spans="1:9" ht="12.75" customHeight="1" x14ac:dyDescent="0.2">
      <c r="A35" s="190" t="s">
        <v>30</v>
      </c>
      <c r="B35" s="190"/>
      <c r="C35" s="190"/>
      <c r="D35" s="190"/>
      <c r="E35" s="190"/>
      <c r="F35" s="190"/>
      <c r="G35" s="15">
        <v>28</v>
      </c>
      <c r="H35" s="33">
        <f>22834154-194020</f>
        <v>22640134</v>
      </c>
      <c r="I35" s="33">
        <v>22748680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416644</v>
      </c>
      <c r="I38" s="34">
        <f>I39+I40+I41+I42</f>
        <v>378102</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416644</v>
      </c>
      <c r="I42" s="33">
        <v>378102</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191298466</v>
      </c>
      <c r="I44" s="34">
        <f>I45+I53+I60+I70</f>
        <v>271776941</v>
      </c>
    </row>
    <row r="45" spans="1:9" ht="12.75" customHeight="1" x14ac:dyDescent="0.2">
      <c r="A45" s="194" t="s">
        <v>39</v>
      </c>
      <c r="B45" s="194"/>
      <c r="C45" s="194"/>
      <c r="D45" s="194"/>
      <c r="E45" s="194"/>
      <c r="F45" s="194"/>
      <c r="G45" s="16">
        <v>38</v>
      </c>
      <c r="H45" s="34">
        <f>SUM(H46:H52)</f>
        <v>59925338</v>
      </c>
      <c r="I45" s="34">
        <f>SUM(I46:I52)</f>
        <v>60618452</v>
      </c>
    </row>
    <row r="46" spans="1:9" ht="12.75" customHeight="1" x14ac:dyDescent="0.2">
      <c r="A46" s="190" t="s">
        <v>40</v>
      </c>
      <c r="B46" s="190"/>
      <c r="C46" s="190"/>
      <c r="D46" s="190"/>
      <c r="E46" s="190"/>
      <c r="F46" s="190"/>
      <c r="G46" s="15">
        <v>39</v>
      </c>
      <c r="H46" s="33">
        <v>59925338</v>
      </c>
      <c r="I46" s="33">
        <v>60618452</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0</v>
      </c>
      <c r="I49" s="33">
        <v>0</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101638625</v>
      </c>
      <c r="I53" s="34">
        <f>SUM(I54:I59)</f>
        <v>137605026</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89086110</v>
      </c>
      <c r="I56" s="33">
        <v>120632394</v>
      </c>
    </row>
    <row r="57" spans="1:9" ht="12.75" customHeight="1" x14ac:dyDescent="0.2">
      <c r="A57" s="190" t="s">
        <v>51</v>
      </c>
      <c r="B57" s="190"/>
      <c r="C57" s="190"/>
      <c r="D57" s="190"/>
      <c r="E57" s="190"/>
      <c r="F57" s="190"/>
      <c r="G57" s="15">
        <v>50</v>
      </c>
      <c r="H57" s="33">
        <v>51552</v>
      </c>
      <c r="I57" s="33">
        <v>63677</v>
      </c>
    </row>
    <row r="58" spans="1:9" ht="12.75" customHeight="1" x14ac:dyDescent="0.2">
      <c r="A58" s="190" t="s">
        <v>52</v>
      </c>
      <c r="B58" s="190"/>
      <c r="C58" s="190"/>
      <c r="D58" s="190"/>
      <c r="E58" s="190"/>
      <c r="F58" s="190"/>
      <c r="G58" s="15">
        <v>51</v>
      </c>
      <c r="H58" s="33">
        <v>9290401</v>
      </c>
      <c r="I58" s="33">
        <v>627419</v>
      </c>
    </row>
    <row r="59" spans="1:9" ht="12.75" customHeight="1" x14ac:dyDescent="0.2">
      <c r="A59" s="190" t="s">
        <v>53</v>
      </c>
      <c r="B59" s="190"/>
      <c r="C59" s="190"/>
      <c r="D59" s="190"/>
      <c r="E59" s="190"/>
      <c r="F59" s="190"/>
      <c r="G59" s="15">
        <v>52</v>
      </c>
      <c r="H59" s="33">
        <v>3210562</v>
      </c>
      <c r="I59" s="33">
        <v>16281536</v>
      </c>
    </row>
    <row r="60" spans="1:9" ht="12.75" customHeight="1" x14ac:dyDescent="0.2">
      <c r="A60" s="194" t="s">
        <v>54</v>
      </c>
      <c r="B60" s="194"/>
      <c r="C60" s="194"/>
      <c r="D60" s="194"/>
      <c r="E60" s="194"/>
      <c r="F60" s="194"/>
      <c r="G60" s="16">
        <v>53</v>
      </c>
      <c r="H60" s="34">
        <f>SUM(H61:H69)</f>
        <v>9096549</v>
      </c>
      <c r="I60" s="34">
        <f>SUM(I61:I69)</f>
        <v>26511111</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186</v>
      </c>
      <c r="I67" s="33">
        <v>186</v>
      </c>
    </row>
    <row r="68" spans="1:9" ht="12.75" customHeight="1" x14ac:dyDescent="0.2">
      <c r="A68" s="190" t="s">
        <v>30</v>
      </c>
      <c r="B68" s="190"/>
      <c r="C68" s="190"/>
      <c r="D68" s="190"/>
      <c r="E68" s="190"/>
      <c r="F68" s="190"/>
      <c r="G68" s="15">
        <v>61</v>
      </c>
      <c r="H68" s="33">
        <v>9094300</v>
      </c>
      <c r="I68" s="33">
        <v>26500905</v>
      </c>
    </row>
    <row r="69" spans="1:9" ht="12.75" customHeight="1" x14ac:dyDescent="0.2">
      <c r="A69" s="190" t="s">
        <v>56</v>
      </c>
      <c r="B69" s="190"/>
      <c r="C69" s="190"/>
      <c r="D69" s="190"/>
      <c r="E69" s="190"/>
      <c r="F69" s="190"/>
      <c r="G69" s="15">
        <v>62</v>
      </c>
      <c r="H69" s="33">
        <v>2063</v>
      </c>
      <c r="I69" s="33">
        <v>10020</v>
      </c>
    </row>
    <row r="70" spans="1:9" ht="12.75" customHeight="1" x14ac:dyDescent="0.2">
      <c r="A70" s="190" t="s">
        <v>57</v>
      </c>
      <c r="B70" s="190"/>
      <c r="C70" s="190"/>
      <c r="D70" s="190"/>
      <c r="E70" s="190"/>
      <c r="F70" s="190"/>
      <c r="G70" s="15">
        <v>63</v>
      </c>
      <c r="H70" s="33">
        <v>20637954</v>
      </c>
      <c r="I70" s="33">
        <v>47042352</v>
      </c>
    </row>
    <row r="71" spans="1:9" ht="12.75" customHeight="1" x14ac:dyDescent="0.2">
      <c r="A71" s="191" t="s">
        <v>58</v>
      </c>
      <c r="B71" s="191"/>
      <c r="C71" s="191"/>
      <c r="D71" s="191"/>
      <c r="E71" s="191"/>
      <c r="F71" s="191"/>
      <c r="G71" s="15">
        <v>64</v>
      </c>
      <c r="H71" s="33">
        <v>18862682</v>
      </c>
      <c r="I71" s="33">
        <v>22121265</v>
      </c>
    </row>
    <row r="72" spans="1:9" ht="12.75" customHeight="1" x14ac:dyDescent="0.2">
      <c r="A72" s="192" t="s">
        <v>383</v>
      </c>
      <c r="B72" s="192"/>
      <c r="C72" s="192"/>
      <c r="D72" s="192"/>
      <c r="E72" s="192"/>
      <c r="F72" s="192"/>
      <c r="G72" s="16">
        <v>65</v>
      </c>
      <c r="H72" s="34">
        <f>H8+H9+H44+H71</f>
        <v>869480950</v>
      </c>
      <c r="I72" s="34">
        <f>I8+I9+I44+I71</f>
        <v>1437285661</v>
      </c>
    </row>
    <row r="73" spans="1:9" ht="12.75" customHeight="1" x14ac:dyDescent="0.2">
      <c r="A73" s="191" t="s">
        <v>59</v>
      </c>
      <c r="B73" s="191"/>
      <c r="C73" s="191"/>
      <c r="D73" s="191"/>
      <c r="E73" s="191"/>
      <c r="F73" s="191"/>
      <c r="G73" s="15">
        <v>66</v>
      </c>
      <c r="H73" s="33">
        <v>0</v>
      </c>
      <c r="I73" s="33">
        <v>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308152030</v>
      </c>
      <c r="I75" s="34">
        <f>I76+I77+I78+I84+I85+I89+I92+I95</f>
        <v>219656517</v>
      </c>
    </row>
    <row r="76" spans="1:9" ht="12.75" customHeight="1" x14ac:dyDescent="0.2">
      <c r="A76" s="190" t="s">
        <v>61</v>
      </c>
      <c r="B76" s="190"/>
      <c r="C76" s="190"/>
      <c r="D76" s="190"/>
      <c r="E76" s="190"/>
      <c r="F76" s="190"/>
      <c r="G76" s="15">
        <v>68</v>
      </c>
      <c r="H76" s="33">
        <v>277879530</v>
      </c>
      <c r="I76" s="33">
        <v>277879530</v>
      </c>
    </row>
    <row r="77" spans="1:9" ht="12.75" customHeight="1" x14ac:dyDescent="0.2">
      <c r="A77" s="190" t="s">
        <v>62</v>
      </c>
      <c r="B77" s="190"/>
      <c r="C77" s="190"/>
      <c r="D77" s="190"/>
      <c r="E77" s="190"/>
      <c r="F77" s="190"/>
      <c r="G77" s="15">
        <v>69</v>
      </c>
      <c r="H77" s="33">
        <v>0</v>
      </c>
      <c r="I77" s="33">
        <v>0</v>
      </c>
    </row>
    <row r="78" spans="1:9" ht="12.75" customHeight="1" x14ac:dyDescent="0.2">
      <c r="A78" s="194" t="s">
        <v>63</v>
      </c>
      <c r="B78" s="194"/>
      <c r="C78" s="194"/>
      <c r="D78" s="194"/>
      <c r="E78" s="194"/>
      <c r="F78" s="194"/>
      <c r="G78" s="16">
        <v>70</v>
      </c>
      <c r="H78" s="34">
        <f>SUM(H79:H83)</f>
        <v>111843069</v>
      </c>
      <c r="I78" s="34">
        <f>SUM(I79:I83)</f>
        <v>112796710</v>
      </c>
    </row>
    <row r="79" spans="1:9" ht="12.75" customHeight="1" x14ac:dyDescent="0.2">
      <c r="A79" s="190" t="s">
        <v>64</v>
      </c>
      <c r="B79" s="190"/>
      <c r="C79" s="190"/>
      <c r="D79" s="190"/>
      <c r="E79" s="190"/>
      <c r="F79" s="190"/>
      <c r="G79" s="15">
        <v>71</v>
      </c>
      <c r="H79" s="33">
        <v>14549784</v>
      </c>
      <c r="I79" s="33">
        <v>14549784</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-2940</v>
      </c>
      <c r="I81" s="33">
        <v>-2940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97296225</v>
      </c>
      <c r="I83" s="33">
        <v>98249866</v>
      </c>
    </row>
    <row r="84" spans="1:9" ht="12.75" customHeight="1" x14ac:dyDescent="0.2">
      <c r="A84" s="193" t="s">
        <v>69</v>
      </c>
      <c r="B84" s="193"/>
      <c r="C84" s="193"/>
      <c r="D84" s="193"/>
      <c r="E84" s="193"/>
      <c r="F84" s="193"/>
      <c r="G84" s="118">
        <v>76</v>
      </c>
      <c r="H84" s="119">
        <v>0</v>
      </c>
      <c r="I84" s="119">
        <v>0</v>
      </c>
    </row>
    <row r="85" spans="1:9" ht="12.75" customHeight="1" x14ac:dyDescent="0.2">
      <c r="A85" s="194" t="s">
        <v>70</v>
      </c>
      <c r="B85" s="194"/>
      <c r="C85" s="194"/>
      <c r="D85" s="194"/>
      <c r="E85" s="194"/>
      <c r="F85" s="194"/>
      <c r="G85" s="16">
        <v>77</v>
      </c>
      <c r="H85" s="34">
        <f>H86+H87+H88</f>
        <v>-1378876</v>
      </c>
      <c r="I85" s="34">
        <f>I86+I87+I88</f>
        <v>-1128200</v>
      </c>
    </row>
    <row r="86" spans="1:9" ht="12.75" customHeight="1" x14ac:dyDescent="0.2">
      <c r="A86" s="190" t="s">
        <v>71</v>
      </c>
      <c r="B86" s="190"/>
      <c r="C86" s="190"/>
      <c r="D86" s="190"/>
      <c r="E86" s="190"/>
      <c r="F86" s="190"/>
      <c r="G86" s="15">
        <v>78</v>
      </c>
      <c r="H86" s="33">
        <v>-1006200</v>
      </c>
      <c r="I86" s="33">
        <v>-944280</v>
      </c>
    </row>
    <row r="87" spans="1:9" ht="12.75" customHeight="1" x14ac:dyDescent="0.2">
      <c r="A87" s="190" t="s">
        <v>72</v>
      </c>
      <c r="B87" s="190"/>
      <c r="C87" s="190"/>
      <c r="D87" s="190"/>
      <c r="E87" s="190"/>
      <c r="F87" s="190"/>
      <c r="G87" s="15">
        <v>79</v>
      </c>
      <c r="H87" s="33">
        <v>-372676</v>
      </c>
      <c r="I87" s="33">
        <v>-183920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1495919</v>
      </c>
      <c r="I89" s="34">
        <f>I90-I91</f>
        <v>-81145334</v>
      </c>
    </row>
    <row r="90" spans="1:9" ht="12.75" customHeight="1" x14ac:dyDescent="0.2">
      <c r="A90" s="190" t="s">
        <v>75</v>
      </c>
      <c r="B90" s="190"/>
      <c r="C90" s="190"/>
      <c r="D90" s="190"/>
      <c r="E90" s="190"/>
      <c r="F90" s="190"/>
      <c r="G90" s="15">
        <v>82</v>
      </c>
      <c r="H90" s="33">
        <v>1495919</v>
      </c>
      <c r="I90" s="33">
        <v>0</v>
      </c>
    </row>
    <row r="91" spans="1:9" ht="12.75" customHeight="1" x14ac:dyDescent="0.2">
      <c r="A91" s="190" t="s">
        <v>76</v>
      </c>
      <c r="B91" s="190"/>
      <c r="C91" s="190"/>
      <c r="D91" s="190"/>
      <c r="E91" s="190"/>
      <c r="F91" s="190"/>
      <c r="G91" s="15">
        <v>83</v>
      </c>
      <c r="H91" s="33">
        <v>0</v>
      </c>
      <c r="I91" s="33">
        <v>81145334</v>
      </c>
    </row>
    <row r="92" spans="1:9" ht="12.75" customHeight="1" x14ac:dyDescent="0.2">
      <c r="A92" s="194" t="s">
        <v>77</v>
      </c>
      <c r="B92" s="194"/>
      <c r="C92" s="194"/>
      <c r="D92" s="194"/>
      <c r="E92" s="194"/>
      <c r="F92" s="194"/>
      <c r="G92" s="16">
        <v>84</v>
      </c>
      <c r="H92" s="34">
        <f>H93-H94</f>
        <v>-81687612</v>
      </c>
      <c r="I92" s="34">
        <f>I93-I94</f>
        <v>-88746189</v>
      </c>
    </row>
    <row r="93" spans="1:9" ht="12.75" customHeight="1" x14ac:dyDescent="0.2">
      <c r="A93" s="190" t="s">
        <v>78</v>
      </c>
      <c r="B93" s="190"/>
      <c r="C93" s="190"/>
      <c r="D93" s="190"/>
      <c r="E93" s="190"/>
      <c r="F93" s="190"/>
      <c r="G93" s="15">
        <v>85</v>
      </c>
      <c r="H93" s="33">
        <v>0</v>
      </c>
      <c r="I93" s="33">
        <v>0</v>
      </c>
    </row>
    <row r="94" spans="1:9" ht="12.75" customHeight="1" x14ac:dyDescent="0.2">
      <c r="A94" s="190" t="s">
        <v>79</v>
      </c>
      <c r="B94" s="190"/>
      <c r="C94" s="190"/>
      <c r="D94" s="190"/>
      <c r="E94" s="190"/>
      <c r="F94" s="190"/>
      <c r="G94" s="15">
        <v>86</v>
      </c>
      <c r="H94" s="33">
        <v>81687612</v>
      </c>
      <c r="I94" s="33">
        <f>RDG!J66*-1</f>
        <v>88746189</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33278957</v>
      </c>
      <c r="I96" s="34">
        <f>SUM(I97:I102)</f>
        <v>10437205</v>
      </c>
    </row>
    <row r="97" spans="1:9" ht="12.75" customHeight="1" x14ac:dyDescent="0.2">
      <c r="A97" s="190" t="s">
        <v>81</v>
      </c>
      <c r="B97" s="190"/>
      <c r="C97" s="190"/>
      <c r="D97" s="190"/>
      <c r="E97" s="190"/>
      <c r="F97" s="190"/>
      <c r="G97" s="15">
        <v>89</v>
      </c>
      <c r="H97" s="33">
        <v>1284589</v>
      </c>
      <c r="I97" s="33">
        <v>1284589</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2977740</v>
      </c>
      <c r="I99" s="33">
        <v>2917100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29016628</v>
      </c>
      <c r="I102" s="33">
        <v>6235516</v>
      </c>
    </row>
    <row r="103" spans="1:9" ht="12.75" customHeight="1" x14ac:dyDescent="0.2">
      <c r="A103" s="192" t="s">
        <v>386</v>
      </c>
      <c r="B103" s="192"/>
      <c r="C103" s="192"/>
      <c r="D103" s="192"/>
      <c r="E103" s="192"/>
      <c r="F103" s="192"/>
      <c r="G103" s="16">
        <v>95</v>
      </c>
      <c r="H103" s="34">
        <f>SUM(H104:H114)</f>
        <v>56680400</v>
      </c>
      <c r="I103" s="34">
        <f>SUM(I104:I114)</f>
        <v>458946532</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786757</v>
      </c>
      <c r="I108" s="33">
        <v>784363</v>
      </c>
    </row>
    <row r="109" spans="1:9" ht="12.75" customHeight="1" x14ac:dyDescent="0.2">
      <c r="A109" s="190" t="s">
        <v>92</v>
      </c>
      <c r="B109" s="190"/>
      <c r="C109" s="190"/>
      <c r="D109" s="190"/>
      <c r="E109" s="190"/>
      <c r="F109" s="190"/>
      <c r="G109" s="15">
        <v>101</v>
      </c>
      <c r="H109" s="33">
        <v>55260934</v>
      </c>
      <c r="I109" s="33">
        <f>399764619+50646386+52741</f>
        <v>450463746</v>
      </c>
    </row>
    <row r="110" spans="1:9" ht="12.75" customHeight="1" x14ac:dyDescent="0.2">
      <c r="A110" s="190" t="s">
        <v>93</v>
      </c>
      <c r="B110" s="190"/>
      <c r="C110" s="190"/>
      <c r="D110" s="190"/>
      <c r="E110" s="190"/>
      <c r="F110" s="190"/>
      <c r="G110" s="15">
        <v>102</v>
      </c>
      <c r="H110" s="33">
        <v>632709</v>
      </c>
      <c r="I110" s="33">
        <v>1069604</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f>6309222+319597</f>
        <v>6628819</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436306255</v>
      </c>
      <c r="I115" s="34">
        <f>SUM(I116:I129)</f>
        <v>724360427</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8777000</v>
      </c>
      <c r="I120" s="33">
        <v>13645249</v>
      </c>
    </row>
    <row r="121" spans="1:9" ht="12.75" customHeight="1" x14ac:dyDescent="0.2">
      <c r="A121" s="190" t="s">
        <v>92</v>
      </c>
      <c r="B121" s="190"/>
      <c r="C121" s="190"/>
      <c r="D121" s="190"/>
      <c r="E121" s="190"/>
      <c r="F121" s="190"/>
      <c r="G121" s="15">
        <v>113</v>
      </c>
      <c r="H121" s="33">
        <v>85321935</v>
      </c>
      <c r="I121" s="33">
        <f>61636255+74887079+63585</f>
        <v>136586919</v>
      </c>
    </row>
    <row r="122" spans="1:9" ht="12.75" customHeight="1" x14ac:dyDescent="0.2">
      <c r="A122" s="190" t="s">
        <v>93</v>
      </c>
      <c r="B122" s="190"/>
      <c r="C122" s="190"/>
      <c r="D122" s="190"/>
      <c r="E122" s="190"/>
      <c r="F122" s="190"/>
      <c r="G122" s="15">
        <v>114</v>
      </c>
      <c r="H122" s="33">
        <v>1374445</v>
      </c>
      <c r="I122" s="33">
        <v>43819289</v>
      </c>
    </row>
    <row r="123" spans="1:9" ht="12.75" customHeight="1" x14ac:dyDescent="0.2">
      <c r="A123" s="190" t="s">
        <v>94</v>
      </c>
      <c r="B123" s="190"/>
      <c r="C123" s="190"/>
      <c r="D123" s="190"/>
      <c r="E123" s="190"/>
      <c r="F123" s="190"/>
      <c r="G123" s="15">
        <v>115</v>
      </c>
      <c r="H123" s="33">
        <v>196164280</v>
      </c>
      <c r="I123" s="33">
        <v>230237209</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10738844</v>
      </c>
      <c r="I125" s="33">
        <v>12989998</v>
      </c>
    </row>
    <row r="126" spans="1:9" x14ac:dyDescent="0.2">
      <c r="A126" s="190" t="s">
        <v>99</v>
      </c>
      <c r="B126" s="190"/>
      <c r="C126" s="190"/>
      <c r="D126" s="190"/>
      <c r="E126" s="190"/>
      <c r="F126" s="190"/>
      <c r="G126" s="15">
        <v>118</v>
      </c>
      <c r="H126" s="33">
        <v>9352095</v>
      </c>
      <c r="I126" s="33">
        <v>12122857</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124577656</v>
      </c>
      <c r="I129" s="33">
        <f>274737061+221845</f>
        <v>274958906</v>
      </c>
    </row>
    <row r="130" spans="1:9" ht="22.15" customHeight="1" x14ac:dyDescent="0.2">
      <c r="A130" s="191" t="s">
        <v>103</v>
      </c>
      <c r="B130" s="191"/>
      <c r="C130" s="191"/>
      <c r="D130" s="191"/>
      <c r="E130" s="191"/>
      <c r="F130" s="191"/>
      <c r="G130" s="15">
        <v>122</v>
      </c>
      <c r="H130" s="33">
        <v>35063308</v>
      </c>
      <c r="I130" s="33">
        <v>23884980</v>
      </c>
    </row>
    <row r="131" spans="1:9" x14ac:dyDescent="0.2">
      <c r="A131" s="192" t="s">
        <v>388</v>
      </c>
      <c r="B131" s="192"/>
      <c r="C131" s="192"/>
      <c r="D131" s="192"/>
      <c r="E131" s="192"/>
      <c r="F131" s="192"/>
      <c r="G131" s="16">
        <v>123</v>
      </c>
      <c r="H131" s="34">
        <f>H75+H96+H103+H115+H130</f>
        <v>869480950</v>
      </c>
      <c r="I131" s="34">
        <f>I75+I96+I103+I115+I130</f>
        <v>1437285661</v>
      </c>
    </row>
    <row r="132" spans="1:9" x14ac:dyDescent="0.2">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9" zoomScaleNormal="100" zoomScaleSheetLayoutView="110" workbookViewId="0">
      <selection activeCell="I25" sqref="I2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458</v>
      </c>
      <c r="B2" s="200"/>
      <c r="C2" s="200"/>
      <c r="D2" s="200"/>
      <c r="E2" s="200"/>
      <c r="F2" s="200"/>
      <c r="G2" s="200"/>
      <c r="H2" s="200"/>
      <c r="I2" s="200"/>
      <c r="J2" s="120"/>
      <c r="K2" s="120"/>
    </row>
    <row r="3" spans="1:11" x14ac:dyDescent="0.2">
      <c r="A3" s="230" t="s">
        <v>355</v>
      </c>
      <c r="B3" s="231"/>
      <c r="C3" s="231"/>
      <c r="D3" s="231"/>
      <c r="E3" s="231"/>
      <c r="F3" s="231"/>
      <c r="G3" s="231"/>
      <c r="H3" s="231"/>
      <c r="I3" s="231"/>
      <c r="J3" s="232"/>
      <c r="K3" s="232"/>
    </row>
    <row r="4" spans="1:11" x14ac:dyDescent="0.2">
      <c r="A4" s="233" t="s">
        <v>455</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732853460</v>
      </c>
      <c r="I8" s="37">
        <f>SUM(I9:I13)</f>
        <v>472016772</v>
      </c>
      <c r="J8" s="37">
        <f>SUM(J9:J13)</f>
        <v>755640787</v>
      </c>
      <c r="K8" s="37">
        <f>SUM(K9:K13)</f>
        <v>499272843</v>
      </c>
    </row>
    <row r="9" spans="1:11" x14ac:dyDescent="0.2">
      <c r="A9" s="190" t="s">
        <v>121</v>
      </c>
      <c r="B9" s="190"/>
      <c r="C9" s="190"/>
      <c r="D9" s="190"/>
      <c r="E9" s="190"/>
      <c r="F9" s="190"/>
      <c r="G9" s="15">
        <v>126</v>
      </c>
      <c r="H9" s="33">
        <v>0</v>
      </c>
      <c r="I9" s="33">
        <v>0</v>
      </c>
      <c r="J9" s="33">
        <v>0</v>
      </c>
      <c r="K9" s="33">
        <f>J9</f>
        <v>0</v>
      </c>
    </row>
    <row r="10" spans="1:11" x14ac:dyDescent="0.2">
      <c r="A10" s="190" t="s">
        <v>122</v>
      </c>
      <c r="B10" s="190"/>
      <c r="C10" s="190"/>
      <c r="D10" s="190"/>
      <c r="E10" s="190"/>
      <c r="F10" s="190"/>
      <c r="G10" s="15">
        <v>127</v>
      </c>
      <c r="H10" s="33">
        <v>677642400</v>
      </c>
      <c r="I10" s="33">
        <f>H10-244510417</f>
        <v>433131983</v>
      </c>
      <c r="J10" s="33">
        <v>686412575</v>
      </c>
      <c r="K10" s="33">
        <f>J10-239974846-29850</f>
        <v>446407879</v>
      </c>
    </row>
    <row r="11" spans="1:11" x14ac:dyDescent="0.2">
      <c r="A11" s="190" t="s">
        <v>123</v>
      </c>
      <c r="B11" s="190"/>
      <c r="C11" s="190"/>
      <c r="D11" s="190"/>
      <c r="E11" s="190"/>
      <c r="F11" s="190"/>
      <c r="G11" s="15">
        <v>128</v>
      </c>
      <c r="H11" s="33">
        <v>0</v>
      </c>
      <c r="I11" s="33">
        <f t="shared" ref="I11:I12" si="0">H11</f>
        <v>0</v>
      </c>
      <c r="J11" s="33">
        <v>0</v>
      </c>
      <c r="K11" s="33">
        <f t="shared" ref="K11:K12" si="1">J11</f>
        <v>0</v>
      </c>
    </row>
    <row r="12" spans="1:11" x14ac:dyDescent="0.2">
      <c r="A12" s="190" t="s">
        <v>124</v>
      </c>
      <c r="B12" s="190"/>
      <c r="C12" s="190"/>
      <c r="D12" s="190"/>
      <c r="E12" s="190"/>
      <c r="F12" s="190"/>
      <c r="G12" s="15">
        <v>129</v>
      </c>
      <c r="H12" s="33">
        <v>0</v>
      </c>
      <c r="I12" s="33">
        <f t="shared" si="0"/>
        <v>0</v>
      </c>
      <c r="J12" s="33">
        <v>0</v>
      </c>
      <c r="K12" s="33">
        <f t="shared" si="1"/>
        <v>0</v>
      </c>
    </row>
    <row r="13" spans="1:11" x14ac:dyDescent="0.2">
      <c r="A13" s="190" t="s">
        <v>125</v>
      </c>
      <c r="B13" s="190"/>
      <c r="C13" s="190"/>
      <c r="D13" s="190"/>
      <c r="E13" s="190"/>
      <c r="F13" s="190"/>
      <c r="G13" s="15">
        <v>130</v>
      </c>
      <c r="H13" s="33">
        <v>55211060</v>
      </c>
      <c r="I13" s="33">
        <f>H13-16326271</f>
        <v>38884789</v>
      </c>
      <c r="J13" s="33">
        <v>69228212</v>
      </c>
      <c r="K13" s="33">
        <f>J13-16363248</f>
        <v>52864964</v>
      </c>
    </row>
    <row r="14" spans="1:11" x14ac:dyDescent="0.2">
      <c r="A14" s="218" t="s">
        <v>126</v>
      </c>
      <c r="B14" s="218"/>
      <c r="C14" s="218"/>
      <c r="D14" s="218"/>
      <c r="E14" s="218"/>
      <c r="F14" s="218"/>
      <c r="G14" s="20">
        <v>131</v>
      </c>
      <c r="H14" s="37">
        <f>H15+H16+H20+H24+H25+H26+H29+H36</f>
        <v>809909626</v>
      </c>
      <c r="I14" s="37">
        <f>I15+I16+I20+I24+I25+I26+I29+I36</f>
        <v>466748424</v>
      </c>
      <c r="J14" s="37">
        <f>J15+J16+J20+J24+J25+J26+J29+J36</f>
        <v>834346800</v>
      </c>
      <c r="K14" s="37">
        <f>K15+K16+K20+K24+K25+K26+K29+K36</f>
        <v>487890175</v>
      </c>
    </row>
    <row r="15" spans="1:11" x14ac:dyDescent="0.2">
      <c r="A15" s="190" t="s">
        <v>108</v>
      </c>
      <c r="B15" s="190"/>
      <c r="C15" s="190"/>
      <c r="D15" s="190"/>
      <c r="E15" s="190"/>
      <c r="F15" s="190"/>
      <c r="G15" s="15">
        <v>132</v>
      </c>
      <c r="H15" s="33">
        <v>0</v>
      </c>
      <c r="I15" s="33">
        <v>0</v>
      </c>
      <c r="J15" s="33">
        <v>0</v>
      </c>
      <c r="K15" s="33">
        <v>0</v>
      </c>
    </row>
    <row r="16" spans="1:11" x14ac:dyDescent="0.2">
      <c r="A16" s="219" t="s">
        <v>127</v>
      </c>
      <c r="B16" s="219"/>
      <c r="C16" s="219"/>
      <c r="D16" s="219"/>
      <c r="E16" s="219"/>
      <c r="F16" s="219"/>
      <c r="G16" s="20">
        <v>133</v>
      </c>
      <c r="H16" s="37">
        <f>SUM(H17:H19)</f>
        <v>601782203</v>
      </c>
      <c r="I16" s="37">
        <f>SUM(I17:I19)</f>
        <v>360212294</v>
      </c>
      <c r="J16" s="37">
        <f>SUM(J17:J19)</f>
        <v>558190591</v>
      </c>
      <c r="K16" s="37">
        <f>SUM(K17:K19)</f>
        <v>343284152</v>
      </c>
    </row>
    <row r="17" spans="1:11" x14ac:dyDescent="0.2">
      <c r="A17" s="220" t="s">
        <v>128</v>
      </c>
      <c r="B17" s="220"/>
      <c r="C17" s="220"/>
      <c r="D17" s="220"/>
      <c r="E17" s="220"/>
      <c r="F17" s="220"/>
      <c r="G17" s="15">
        <v>134</v>
      </c>
      <c r="H17" s="33">
        <v>163480810</v>
      </c>
      <c r="I17" s="33">
        <f>H17-59327244</f>
        <v>104153566</v>
      </c>
      <c r="J17" s="33">
        <v>162174947</v>
      </c>
      <c r="K17" s="33">
        <f>J17-61420590</f>
        <v>100754357</v>
      </c>
    </row>
    <row r="18" spans="1:11" x14ac:dyDescent="0.2">
      <c r="A18" s="220" t="s">
        <v>129</v>
      </c>
      <c r="B18" s="220"/>
      <c r="C18" s="220"/>
      <c r="D18" s="220"/>
      <c r="E18" s="220"/>
      <c r="F18" s="220"/>
      <c r="G18" s="15">
        <v>135</v>
      </c>
      <c r="H18" s="33">
        <v>0</v>
      </c>
      <c r="I18" s="33">
        <f t="shared" ref="I18" si="2">H18</f>
        <v>0</v>
      </c>
      <c r="J18" s="33">
        <v>0</v>
      </c>
      <c r="K18" s="33">
        <v>0</v>
      </c>
    </row>
    <row r="19" spans="1:11" x14ac:dyDescent="0.2">
      <c r="A19" s="220" t="s">
        <v>130</v>
      </c>
      <c r="B19" s="220"/>
      <c r="C19" s="220"/>
      <c r="D19" s="220"/>
      <c r="E19" s="220"/>
      <c r="F19" s="220"/>
      <c r="G19" s="15">
        <v>136</v>
      </c>
      <c r="H19" s="33">
        <v>438301393</v>
      </c>
      <c r="I19" s="33">
        <f>H18:H19-182242665</f>
        <v>256058728</v>
      </c>
      <c r="J19" s="33">
        <f>396044043+120910-149309</f>
        <v>396015644</v>
      </c>
      <c r="K19" s="33">
        <f>J19-153485849</f>
        <v>242529795</v>
      </c>
    </row>
    <row r="20" spans="1:11" x14ac:dyDescent="0.2">
      <c r="A20" s="219" t="s">
        <v>131</v>
      </c>
      <c r="B20" s="219"/>
      <c r="C20" s="219"/>
      <c r="D20" s="219"/>
      <c r="E20" s="219"/>
      <c r="F20" s="219"/>
      <c r="G20" s="20">
        <v>137</v>
      </c>
      <c r="H20" s="37">
        <f>SUM(H21:H23)</f>
        <v>112513034</v>
      </c>
      <c r="I20" s="37">
        <f>SUM(I21:I23)</f>
        <v>59383790</v>
      </c>
      <c r="J20" s="37">
        <f>SUM(J21:J23)</f>
        <v>118784799</v>
      </c>
      <c r="K20" s="37">
        <f>SUM(K21:K23)</f>
        <v>63074700</v>
      </c>
    </row>
    <row r="21" spans="1:11" x14ac:dyDescent="0.2">
      <c r="A21" s="220" t="s">
        <v>109</v>
      </c>
      <c r="B21" s="220"/>
      <c r="C21" s="220"/>
      <c r="D21" s="220"/>
      <c r="E21" s="220"/>
      <c r="F21" s="220"/>
      <c r="G21" s="15">
        <v>138</v>
      </c>
      <c r="H21" s="33">
        <v>60839349</v>
      </c>
      <c r="I21" s="33">
        <f>H21-28850416</f>
        <v>31988933</v>
      </c>
      <c r="J21" s="33">
        <v>64481797</v>
      </c>
      <c r="K21" s="33">
        <f>J21-30421418</f>
        <v>34060379</v>
      </c>
    </row>
    <row r="22" spans="1:11" x14ac:dyDescent="0.2">
      <c r="A22" s="220" t="s">
        <v>110</v>
      </c>
      <c r="B22" s="220"/>
      <c r="C22" s="220"/>
      <c r="D22" s="220"/>
      <c r="E22" s="220"/>
      <c r="F22" s="220"/>
      <c r="G22" s="15">
        <v>139</v>
      </c>
      <c r="H22" s="33">
        <v>30917483</v>
      </c>
      <c r="I22" s="33">
        <f>H22-14450671</f>
        <v>16466812</v>
      </c>
      <c r="J22" s="33">
        <v>32369835</v>
      </c>
      <c r="K22" s="33">
        <f>J22-15042991</f>
        <v>17326844</v>
      </c>
    </row>
    <row r="23" spans="1:11" x14ac:dyDescent="0.2">
      <c r="A23" s="220" t="s">
        <v>111</v>
      </c>
      <c r="B23" s="220"/>
      <c r="C23" s="220"/>
      <c r="D23" s="220"/>
      <c r="E23" s="220"/>
      <c r="F23" s="220"/>
      <c r="G23" s="15">
        <v>140</v>
      </c>
      <c r="H23" s="33">
        <v>20756202</v>
      </c>
      <c r="I23" s="33">
        <f>H23-9828157</f>
        <v>10928045</v>
      </c>
      <c r="J23" s="33">
        <v>21933167</v>
      </c>
      <c r="K23" s="33">
        <f>J23-10245690</f>
        <v>11687477</v>
      </c>
    </row>
    <row r="24" spans="1:11" x14ac:dyDescent="0.2">
      <c r="A24" s="190" t="s">
        <v>112</v>
      </c>
      <c r="B24" s="190"/>
      <c r="C24" s="190"/>
      <c r="D24" s="190"/>
      <c r="E24" s="190"/>
      <c r="F24" s="190"/>
      <c r="G24" s="15">
        <v>141</v>
      </c>
      <c r="H24" s="33">
        <v>48993391</v>
      </c>
      <c r="I24" s="33">
        <f>H24-24570447</f>
        <v>24422944</v>
      </c>
      <c r="J24" s="33">
        <f>103306893+144182</f>
        <v>103451075</v>
      </c>
      <c r="K24" s="33">
        <f>J24-51183363</f>
        <v>52267712</v>
      </c>
    </row>
    <row r="25" spans="1:11" x14ac:dyDescent="0.2">
      <c r="A25" s="190" t="s">
        <v>113</v>
      </c>
      <c r="B25" s="190"/>
      <c r="C25" s="190"/>
      <c r="D25" s="190"/>
      <c r="E25" s="190"/>
      <c r="F25" s="190"/>
      <c r="G25" s="15">
        <v>142</v>
      </c>
      <c r="H25" s="33">
        <v>42631715</v>
      </c>
      <c r="I25" s="33">
        <f>H25-22880981</f>
        <v>19750734</v>
      </c>
      <c r="J25" s="33">
        <v>45244875</v>
      </c>
      <c r="K25" s="33">
        <f>J25-21888482</f>
        <v>23356393</v>
      </c>
    </row>
    <row r="26" spans="1:11" x14ac:dyDescent="0.2">
      <c r="A26" s="219" t="s">
        <v>132</v>
      </c>
      <c r="B26" s="219"/>
      <c r="C26" s="219"/>
      <c r="D26" s="219"/>
      <c r="E26" s="219"/>
      <c r="F26" s="219"/>
      <c r="G26" s="20">
        <v>143</v>
      </c>
      <c r="H26" s="37">
        <f>H27+H28</f>
        <v>104837</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104837</v>
      </c>
      <c r="I28" s="33">
        <f>H28-104837</f>
        <v>0</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3884446</v>
      </c>
      <c r="I36" s="33">
        <f>H36-905784</f>
        <v>2978662</v>
      </c>
      <c r="J36" s="33">
        <v>8675460</v>
      </c>
      <c r="K36" s="33">
        <f>J36-2768242</f>
        <v>5907218</v>
      </c>
    </row>
    <row r="37" spans="1:11" x14ac:dyDescent="0.2">
      <c r="A37" s="218" t="s">
        <v>142</v>
      </c>
      <c r="B37" s="218"/>
      <c r="C37" s="218"/>
      <c r="D37" s="218"/>
      <c r="E37" s="218"/>
      <c r="F37" s="218"/>
      <c r="G37" s="20">
        <v>154</v>
      </c>
      <c r="H37" s="37">
        <f>SUM(H38:H47)</f>
        <v>20861764</v>
      </c>
      <c r="I37" s="37">
        <f>SUM(I38:I47)</f>
        <v>12706364</v>
      </c>
      <c r="J37" s="37">
        <f>SUM(J38:J47)</f>
        <v>10857977</v>
      </c>
      <c r="K37" s="37">
        <f>SUM(K38:K47)</f>
        <v>6188528</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f>52834+4447</f>
        <v>57281</v>
      </c>
      <c r="I44" s="33">
        <f>H44-7208-3002</f>
        <v>47071</v>
      </c>
      <c r="J44" s="33">
        <v>111872</v>
      </c>
      <c r="K44" s="33">
        <f>J44-22613</f>
        <v>89259</v>
      </c>
    </row>
    <row r="45" spans="1:11" x14ac:dyDescent="0.2">
      <c r="A45" s="190" t="s">
        <v>150</v>
      </c>
      <c r="B45" s="190"/>
      <c r="C45" s="190"/>
      <c r="D45" s="190"/>
      <c r="E45" s="190"/>
      <c r="F45" s="190"/>
      <c r="G45" s="15">
        <v>162</v>
      </c>
      <c r="H45" s="33">
        <v>20804483</v>
      </c>
      <c r="I45" s="33">
        <f>H45-8145190</f>
        <v>12659293</v>
      </c>
      <c r="J45" s="33">
        <v>10712030</v>
      </c>
      <c r="K45" s="33">
        <f>J45-4642753</f>
        <v>6069277</v>
      </c>
    </row>
    <row r="46" spans="1:11" x14ac:dyDescent="0.2">
      <c r="A46" s="190" t="s">
        <v>151</v>
      </c>
      <c r="B46" s="190"/>
      <c r="C46" s="190"/>
      <c r="D46" s="190"/>
      <c r="E46" s="190"/>
      <c r="F46" s="190"/>
      <c r="G46" s="15">
        <v>163</v>
      </c>
      <c r="H46" s="33">
        <v>0</v>
      </c>
      <c r="I46" s="33">
        <v>0</v>
      </c>
      <c r="J46" s="33">
        <v>0</v>
      </c>
      <c r="K46" s="33">
        <f t="shared" ref="K46" si="3">J46</f>
        <v>0</v>
      </c>
    </row>
    <row r="47" spans="1:11" x14ac:dyDescent="0.2">
      <c r="A47" s="190" t="s">
        <v>152</v>
      </c>
      <c r="B47" s="190"/>
      <c r="C47" s="190"/>
      <c r="D47" s="190"/>
      <c r="E47" s="190"/>
      <c r="F47" s="190"/>
      <c r="G47" s="15">
        <v>164</v>
      </c>
      <c r="H47" s="33">
        <v>0</v>
      </c>
      <c r="I47" s="33">
        <v>0</v>
      </c>
      <c r="J47" s="33">
        <v>34075</v>
      </c>
      <c r="K47" s="33">
        <f>J47-4083</f>
        <v>29992</v>
      </c>
    </row>
    <row r="48" spans="1:11" x14ac:dyDescent="0.2">
      <c r="A48" s="218" t="s">
        <v>153</v>
      </c>
      <c r="B48" s="218"/>
      <c r="C48" s="218"/>
      <c r="D48" s="218"/>
      <c r="E48" s="218"/>
      <c r="F48" s="218"/>
      <c r="G48" s="20">
        <v>165</v>
      </c>
      <c r="H48" s="37">
        <f>SUM(H49:H55)</f>
        <v>23001025</v>
      </c>
      <c r="I48" s="37">
        <f>SUM(I49:I55)</f>
        <v>12607375</v>
      </c>
      <c r="J48" s="37">
        <f>SUM(J49:J55)</f>
        <v>20898153</v>
      </c>
      <c r="K48" s="37">
        <f>SUM(K49:K55)</f>
        <v>7902578</v>
      </c>
    </row>
    <row r="49" spans="1:11" ht="25.15" customHeight="1" x14ac:dyDescent="0.2">
      <c r="A49" s="190" t="s">
        <v>154</v>
      </c>
      <c r="B49" s="190"/>
      <c r="C49" s="190"/>
      <c r="D49" s="190"/>
      <c r="E49" s="190"/>
      <c r="F49" s="190"/>
      <c r="G49" s="15">
        <v>166</v>
      </c>
      <c r="H49" s="33">
        <v>0</v>
      </c>
      <c r="I49" s="33">
        <v>0</v>
      </c>
      <c r="J49" s="33">
        <v>0</v>
      </c>
      <c r="K49" s="33">
        <f>J49</f>
        <v>0</v>
      </c>
    </row>
    <row r="50" spans="1:11" x14ac:dyDescent="0.2">
      <c r="A50" s="214" t="s">
        <v>155</v>
      </c>
      <c r="B50" s="214"/>
      <c r="C50" s="214"/>
      <c r="D50" s="214"/>
      <c r="E50" s="214"/>
      <c r="F50" s="214"/>
      <c r="G50" s="15">
        <v>167</v>
      </c>
      <c r="H50" s="33">
        <v>0</v>
      </c>
      <c r="I50" s="33">
        <v>0</v>
      </c>
      <c r="J50" s="33">
        <v>0</v>
      </c>
      <c r="K50" s="33">
        <f t="shared" ref="K50:K59" si="4">J50</f>
        <v>0</v>
      </c>
    </row>
    <row r="51" spans="1:11" x14ac:dyDescent="0.2">
      <c r="A51" s="214" t="s">
        <v>156</v>
      </c>
      <c r="B51" s="214"/>
      <c r="C51" s="214"/>
      <c r="D51" s="214"/>
      <c r="E51" s="214"/>
      <c r="F51" s="214"/>
      <c r="G51" s="15">
        <v>168</v>
      </c>
      <c r="H51" s="33">
        <f>2039695+60392</f>
        <v>2100087</v>
      </c>
      <c r="I51" s="33">
        <f>H51-951436</f>
        <v>1148651</v>
      </c>
      <c r="J51" s="33">
        <f>9946320+9235</f>
        <v>9955555</v>
      </c>
      <c r="K51" s="33">
        <f>J51-5057796</f>
        <v>4897759</v>
      </c>
    </row>
    <row r="52" spans="1:11" x14ac:dyDescent="0.2">
      <c r="A52" s="214" t="s">
        <v>157</v>
      </c>
      <c r="B52" s="214"/>
      <c r="C52" s="214"/>
      <c r="D52" s="214"/>
      <c r="E52" s="214"/>
      <c r="F52" s="214"/>
      <c r="G52" s="15">
        <v>169</v>
      </c>
      <c r="H52" s="33">
        <v>20512930</v>
      </c>
      <c r="I52" s="33">
        <f>H52-9408432-21002</f>
        <v>11083496</v>
      </c>
      <c r="J52" s="33">
        <f>10895479-305</f>
        <v>10895174</v>
      </c>
      <c r="K52" s="33">
        <f>J52-7927406</f>
        <v>2967768</v>
      </c>
    </row>
    <row r="53" spans="1:11" x14ac:dyDescent="0.2">
      <c r="A53" s="214" t="s">
        <v>158</v>
      </c>
      <c r="B53" s="214"/>
      <c r="C53" s="214"/>
      <c r="D53" s="214"/>
      <c r="E53" s="214"/>
      <c r="F53" s="214"/>
      <c r="G53" s="15">
        <v>170</v>
      </c>
      <c r="H53" s="33">
        <v>0</v>
      </c>
      <c r="I53" s="33">
        <v>0</v>
      </c>
      <c r="J53" s="33">
        <v>0</v>
      </c>
      <c r="K53" s="33">
        <f t="shared" si="4"/>
        <v>0</v>
      </c>
    </row>
    <row r="54" spans="1:11" x14ac:dyDescent="0.2">
      <c r="A54" s="214" t="s">
        <v>159</v>
      </c>
      <c r="B54" s="214"/>
      <c r="C54" s="214"/>
      <c r="D54" s="214"/>
      <c r="E54" s="214"/>
      <c r="F54" s="214"/>
      <c r="G54" s="15">
        <v>171</v>
      </c>
      <c r="H54" s="33">
        <v>0</v>
      </c>
      <c r="I54" s="33">
        <v>0</v>
      </c>
      <c r="J54" s="33">
        <v>0</v>
      </c>
      <c r="K54" s="33">
        <f t="shared" si="4"/>
        <v>0</v>
      </c>
    </row>
    <row r="55" spans="1:11" x14ac:dyDescent="0.2">
      <c r="A55" s="214" t="s">
        <v>160</v>
      </c>
      <c r="B55" s="214"/>
      <c r="C55" s="214"/>
      <c r="D55" s="214"/>
      <c r="E55" s="214"/>
      <c r="F55" s="214"/>
      <c r="G55" s="15">
        <v>172</v>
      </c>
      <c r="H55" s="33">
        <f>376271+11737</f>
        <v>388008</v>
      </c>
      <c r="I55" s="33">
        <f>H55-12780</f>
        <v>375228</v>
      </c>
      <c r="J55" s="33">
        <v>47424</v>
      </c>
      <c r="K55" s="33">
        <f>J55-10373</f>
        <v>37051</v>
      </c>
    </row>
    <row r="56" spans="1:11" ht="22.15" customHeight="1" x14ac:dyDescent="0.2">
      <c r="A56" s="223" t="s">
        <v>161</v>
      </c>
      <c r="B56" s="223"/>
      <c r="C56" s="223"/>
      <c r="D56" s="223"/>
      <c r="E56" s="223"/>
      <c r="F56" s="223"/>
      <c r="G56" s="15">
        <v>173</v>
      </c>
      <c r="H56" s="33">
        <v>0</v>
      </c>
      <c r="I56" s="33">
        <v>0</v>
      </c>
      <c r="J56" s="33">
        <v>0</v>
      </c>
      <c r="K56" s="33">
        <f t="shared" si="4"/>
        <v>0</v>
      </c>
    </row>
    <row r="57" spans="1:11" x14ac:dyDescent="0.2">
      <c r="A57" s="223" t="s">
        <v>162</v>
      </c>
      <c r="B57" s="223"/>
      <c r="C57" s="223"/>
      <c r="D57" s="223"/>
      <c r="E57" s="223"/>
      <c r="F57" s="223"/>
      <c r="G57" s="15">
        <v>174</v>
      </c>
      <c r="H57" s="33">
        <v>0</v>
      </c>
      <c r="I57" s="33">
        <v>0</v>
      </c>
      <c r="J57" s="33">
        <v>0</v>
      </c>
      <c r="K57" s="33">
        <f t="shared" si="4"/>
        <v>0</v>
      </c>
    </row>
    <row r="58" spans="1:11" ht="24.6" customHeight="1" x14ac:dyDescent="0.2">
      <c r="A58" s="223" t="s">
        <v>163</v>
      </c>
      <c r="B58" s="223"/>
      <c r="C58" s="223"/>
      <c r="D58" s="223"/>
      <c r="E58" s="223"/>
      <c r="F58" s="223"/>
      <c r="G58" s="15">
        <v>175</v>
      </c>
      <c r="H58" s="33">
        <v>0</v>
      </c>
      <c r="I58" s="33">
        <v>0</v>
      </c>
      <c r="J58" s="33">
        <v>0</v>
      </c>
      <c r="K58" s="33">
        <f t="shared" si="4"/>
        <v>0</v>
      </c>
    </row>
    <row r="59" spans="1:11" x14ac:dyDescent="0.2">
      <c r="A59" s="223" t="s">
        <v>164</v>
      </c>
      <c r="B59" s="223"/>
      <c r="C59" s="223"/>
      <c r="D59" s="223"/>
      <c r="E59" s="223"/>
      <c r="F59" s="223"/>
      <c r="G59" s="15">
        <v>176</v>
      </c>
      <c r="H59" s="33">
        <v>0</v>
      </c>
      <c r="I59" s="33">
        <v>0</v>
      </c>
      <c r="J59" s="33">
        <v>0</v>
      </c>
      <c r="K59" s="33">
        <f t="shared" si="4"/>
        <v>0</v>
      </c>
    </row>
    <row r="60" spans="1:11" x14ac:dyDescent="0.2">
      <c r="A60" s="218" t="s">
        <v>165</v>
      </c>
      <c r="B60" s="218"/>
      <c r="C60" s="218"/>
      <c r="D60" s="218"/>
      <c r="E60" s="218"/>
      <c r="F60" s="218"/>
      <c r="G60" s="20">
        <v>177</v>
      </c>
      <c r="H60" s="37">
        <f>H8+H37+H56+H57</f>
        <v>753715224</v>
      </c>
      <c r="I60" s="37">
        <f t="shared" ref="I60:K60" si="5">I8+I37+I56+I57</f>
        <v>484723136</v>
      </c>
      <c r="J60" s="37">
        <f t="shared" si="5"/>
        <v>766498764</v>
      </c>
      <c r="K60" s="37">
        <f t="shared" si="5"/>
        <v>505461371</v>
      </c>
    </row>
    <row r="61" spans="1:11" x14ac:dyDescent="0.2">
      <c r="A61" s="218" t="s">
        <v>166</v>
      </c>
      <c r="B61" s="218"/>
      <c r="C61" s="218"/>
      <c r="D61" s="218"/>
      <c r="E61" s="218"/>
      <c r="F61" s="218"/>
      <c r="G61" s="20">
        <v>178</v>
      </c>
      <c r="H61" s="37">
        <f>H14+H48+H58+H59</f>
        <v>832910651</v>
      </c>
      <c r="I61" s="37">
        <f t="shared" ref="I61:K61" si="6">I14+I48+I58+I59</f>
        <v>479355799</v>
      </c>
      <c r="J61" s="37">
        <f t="shared" si="6"/>
        <v>855244953</v>
      </c>
      <c r="K61" s="37">
        <f t="shared" si="6"/>
        <v>495792753</v>
      </c>
    </row>
    <row r="62" spans="1:11" x14ac:dyDescent="0.2">
      <c r="A62" s="218" t="s">
        <v>167</v>
      </c>
      <c r="B62" s="218"/>
      <c r="C62" s="218"/>
      <c r="D62" s="218"/>
      <c r="E62" s="218"/>
      <c r="F62" s="218"/>
      <c r="G62" s="20">
        <v>179</v>
      </c>
      <c r="H62" s="37">
        <f>H60-H61</f>
        <v>-79195427</v>
      </c>
      <c r="I62" s="37">
        <f t="shared" ref="I62:K62" si="7">I60-I61</f>
        <v>5367337</v>
      </c>
      <c r="J62" s="37">
        <f t="shared" si="7"/>
        <v>-88746189</v>
      </c>
      <c r="K62" s="37">
        <f t="shared" si="7"/>
        <v>9668618</v>
      </c>
    </row>
    <row r="63" spans="1:11" x14ac:dyDescent="0.2">
      <c r="A63" s="217" t="s">
        <v>168</v>
      </c>
      <c r="B63" s="217"/>
      <c r="C63" s="217"/>
      <c r="D63" s="217"/>
      <c r="E63" s="217"/>
      <c r="F63" s="217"/>
      <c r="G63" s="20">
        <v>180</v>
      </c>
      <c r="H63" s="37">
        <f>+IF((H60-H61)&gt;0,(H60-H61),0)</f>
        <v>0</v>
      </c>
      <c r="I63" s="37">
        <f t="shared" ref="I63:K63" si="8">+IF((I60-I61)&gt;0,(I60-I61),0)</f>
        <v>5367337</v>
      </c>
      <c r="J63" s="37">
        <f t="shared" si="8"/>
        <v>0</v>
      </c>
      <c r="K63" s="37">
        <f t="shared" si="8"/>
        <v>9668618</v>
      </c>
    </row>
    <row r="64" spans="1:11" x14ac:dyDescent="0.2">
      <c r="A64" s="217" t="s">
        <v>169</v>
      </c>
      <c r="B64" s="217"/>
      <c r="C64" s="217"/>
      <c r="D64" s="217"/>
      <c r="E64" s="217"/>
      <c r="F64" s="217"/>
      <c r="G64" s="20">
        <v>181</v>
      </c>
      <c r="H64" s="37">
        <f>+IF((H60-H61)&lt;0,(H60-H61),0)</f>
        <v>-79195427</v>
      </c>
      <c r="I64" s="37">
        <f t="shared" ref="I64:K64" si="9">+IF((I60-I61)&lt;0,(I60-I61),0)</f>
        <v>0</v>
      </c>
      <c r="J64" s="37">
        <f t="shared" si="9"/>
        <v>-88746189</v>
      </c>
      <c r="K64" s="37">
        <f t="shared" si="9"/>
        <v>0</v>
      </c>
    </row>
    <row r="65" spans="1:11" x14ac:dyDescent="0.2">
      <c r="A65" s="223" t="s">
        <v>115</v>
      </c>
      <c r="B65" s="223"/>
      <c r="C65" s="223"/>
      <c r="D65" s="223"/>
      <c r="E65" s="223"/>
      <c r="F65" s="223"/>
      <c r="G65" s="15">
        <v>182</v>
      </c>
      <c r="H65" s="33">
        <v>0</v>
      </c>
      <c r="I65" s="33">
        <v>0</v>
      </c>
      <c r="J65" s="33">
        <v>0</v>
      </c>
      <c r="K65" s="33">
        <v>0</v>
      </c>
    </row>
    <row r="66" spans="1:11" x14ac:dyDescent="0.2">
      <c r="A66" s="218" t="s">
        <v>170</v>
      </c>
      <c r="B66" s="218"/>
      <c r="C66" s="218"/>
      <c r="D66" s="218"/>
      <c r="E66" s="218"/>
      <c r="F66" s="218"/>
      <c r="G66" s="20">
        <v>183</v>
      </c>
      <c r="H66" s="37">
        <f>H62-H65</f>
        <v>-79195427</v>
      </c>
      <c r="I66" s="37">
        <f t="shared" ref="I66:K66" si="10">I62-I65</f>
        <v>5367337</v>
      </c>
      <c r="J66" s="37">
        <f t="shared" si="10"/>
        <v>-88746189</v>
      </c>
      <c r="K66" s="37">
        <f t="shared" si="10"/>
        <v>9668618</v>
      </c>
    </row>
    <row r="67" spans="1:11" x14ac:dyDescent="0.2">
      <c r="A67" s="217" t="s">
        <v>171</v>
      </c>
      <c r="B67" s="217"/>
      <c r="C67" s="217"/>
      <c r="D67" s="217"/>
      <c r="E67" s="217"/>
      <c r="F67" s="217"/>
      <c r="G67" s="20">
        <v>184</v>
      </c>
      <c r="H67" s="37">
        <f>+IF((H62-H65)&gt;0,(H62-H65),0)</f>
        <v>0</v>
      </c>
      <c r="I67" s="37">
        <f t="shared" ref="I67:K67" si="11">+IF((I62-I65)&gt;0,(I62-I65),0)</f>
        <v>5367337</v>
      </c>
      <c r="J67" s="37">
        <f t="shared" si="11"/>
        <v>0</v>
      </c>
      <c r="K67" s="37">
        <f t="shared" si="11"/>
        <v>9668618</v>
      </c>
    </row>
    <row r="68" spans="1:11" x14ac:dyDescent="0.2">
      <c r="A68" s="217" t="s">
        <v>172</v>
      </c>
      <c r="B68" s="217"/>
      <c r="C68" s="217"/>
      <c r="D68" s="217"/>
      <c r="E68" s="217"/>
      <c r="F68" s="217"/>
      <c r="G68" s="20">
        <v>185</v>
      </c>
      <c r="H68" s="37">
        <f>+IF((H62-H65)&lt;0,(H62-H65),0)</f>
        <v>-79195427</v>
      </c>
      <c r="I68" s="37">
        <f t="shared" ref="I68:K68" si="12">+IF((I62-I65)&lt;0,(I62-I65),0)</f>
        <v>0</v>
      </c>
      <c r="J68" s="37">
        <f t="shared" si="12"/>
        <v>-88746189</v>
      </c>
      <c r="K68" s="37">
        <f t="shared" si="12"/>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1">
        <v>0</v>
      </c>
      <c r="I74" s="121">
        <v>0</v>
      </c>
      <c r="J74" s="121">
        <v>0</v>
      </c>
      <c r="K74" s="121">
        <v>0</v>
      </c>
    </row>
    <row r="75" spans="1:11" x14ac:dyDescent="0.2">
      <c r="A75" s="217" t="s">
        <v>179</v>
      </c>
      <c r="B75" s="217"/>
      <c r="C75" s="217"/>
      <c r="D75" s="217"/>
      <c r="E75" s="217"/>
      <c r="F75" s="217"/>
      <c r="G75" s="20">
        <v>191</v>
      </c>
      <c r="H75" s="121">
        <v>0</v>
      </c>
      <c r="I75" s="121">
        <v>0</v>
      </c>
      <c r="J75" s="121">
        <v>0</v>
      </c>
      <c r="K75" s="121">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1">
        <v>0</v>
      </c>
      <c r="I77" s="121">
        <v>0</v>
      </c>
      <c r="J77" s="121">
        <v>0</v>
      </c>
      <c r="K77" s="121">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1">
        <v>0</v>
      </c>
      <c r="I80" s="121">
        <v>0</v>
      </c>
      <c r="J80" s="121">
        <v>0</v>
      </c>
      <c r="K80" s="121">
        <v>0</v>
      </c>
    </row>
    <row r="81" spans="1:11" x14ac:dyDescent="0.2">
      <c r="A81" s="218" t="s">
        <v>185</v>
      </c>
      <c r="B81" s="218"/>
      <c r="C81" s="218"/>
      <c r="D81" s="218"/>
      <c r="E81" s="218"/>
      <c r="F81" s="218"/>
      <c r="G81" s="20">
        <v>196</v>
      </c>
      <c r="H81" s="121">
        <v>0</v>
      </c>
      <c r="I81" s="121">
        <v>0</v>
      </c>
      <c r="J81" s="121">
        <v>0</v>
      </c>
      <c r="K81" s="121">
        <v>0</v>
      </c>
    </row>
    <row r="82" spans="1:11" x14ac:dyDescent="0.2">
      <c r="A82" s="217" t="s">
        <v>186</v>
      </c>
      <c r="B82" s="217"/>
      <c r="C82" s="217"/>
      <c r="D82" s="217"/>
      <c r="E82" s="217"/>
      <c r="F82" s="217"/>
      <c r="G82" s="20">
        <v>197</v>
      </c>
      <c r="H82" s="121">
        <v>0</v>
      </c>
      <c r="I82" s="121">
        <v>0</v>
      </c>
      <c r="J82" s="121">
        <v>0</v>
      </c>
      <c r="K82" s="121">
        <v>0</v>
      </c>
    </row>
    <row r="83" spans="1:11" x14ac:dyDescent="0.2">
      <c r="A83" s="217" t="s">
        <v>187</v>
      </c>
      <c r="B83" s="217"/>
      <c r="C83" s="217"/>
      <c r="D83" s="217"/>
      <c r="E83" s="217"/>
      <c r="F83" s="217"/>
      <c r="G83" s="20">
        <v>198</v>
      </c>
      <c r="H83" s="121">
        <v>0</v>
      </c>
      <c r="I83" s="121">
        <v>0</v>
      </c>
      <c r="J83" s="121">
        <v>0</v>
      </c>
      <c r="K83" s="121">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-79195427</v>
      </c>
      <c r="I85" s="39">
        <f>I86+I87</f>
        <v>5367337</v>
      </c>
      <c r="J85" s="39">
        <f>J86+J87</f>
        <v>-88746189</v>
      </c>
      <c r="K85" s="39">
        <f>K86+K87</f>
        <v>-88746189</v>
      </c>
    </row>
    <row r="86" spans="1:11" x14ac:dyDescent="0.2">
      <c r="A86" s="213" t="s">
        <v>189</v>
      </c>
      <c r="B86" s="213"/>
      <c r="C86" s="213"/>
      <c r="D86" s="213"/>
      <c r="E86" s="213"/>
      <c r="F86" s="213"/>
      <c r="G86" s="15">
        <v>200</v>
      </c>
      <c r="H86" s="40">
        <f>H66</f>
        <v>-79195427</v>
      </c>
      <c r="I86" s="40">
        <f t="shared" ref="I86:J86" si="13">I66</f>
        <v>5367337</v>
      </c>
      <c r="J86" s="40">
        <f t="shared" si="13"/>
        <v>-88746189</v>
      </c>
      <c r="K86" s="40">
        <f>J86</f>
        <v>-88746189</v>
      </c>
    </row>
    <row r="87" spans="1:11" x14ac:dyDescent="0.2">
      <c r="A87" s="213" t="s">
        <v>190</v>
      </c>
      <c r="B87" s="213"/>
      <c r="C87" s="213"/>
      <c r="D87" s="213"/>
      <c r="E87" s="213"/>
      <c r="F87" s="213"/>
      <c r="G87" s="15">
        <v>201</v>
      </c>
      <c r="H87" s="40">
        <v>0</v>
      </c>
      <c r="I87" s="40">
        <v>0</v>
      </c>
      <c r="J87" s="40">
        <v>0</v>
      </c>
      <c r="K87" s="40">
        <v>0</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f>H66</f>
        <v>-79195427</v>
      </c>
      <c r="I89" s="40">
        <f t="shared" ref="I89:K89" si="14">I66</f>
        <v>5367337</v>
      </c>
      <c r="J89" s="40">
        <f t="shared" si="14"/>
        <v>-88746189</v>
      </c>
      <c r="K89" s="40">
        <f t="shared" si="14"/>
        <v>9668618</v>
      </c>
    </row>
    <row r="90" spans="1:11" ht="24" customHeight="1" x14ac:dyDescent="0.2">
      <c r="A90" s="211" t="s">
        <v>192</v>
      </c>
      <c r="B90" s="211"/>
      <c r="C90" s="211"/>
      <c r="D90" s="211"/>
      <c r="E90" s="211"/>
      <c r="F90" s="211"/>
      <c r="G90" s="20">
        <v>203</v>
      </c>
      <c r="H90" s="39">
        <f>SUM(H91:H98)</f>
        <v>615178</v>
      </c>
      <c r="I90" s="39">
        <f>SUM(I91:I98)</f>
        <v>272366</v>
      </c>
      <c r="J90" s="39">
        <f>SUM(J91:J98)</f>
        <v>250677</v>
      </c>
      <c r="K90" s="39">
        <f>SUM(K91:K98)</f>
        <v>267250</v>
      </c>
    </row>
    <row r="91" spans="1:11" x14ac:dyDescent="0.2">
      <c r="A91" s="214" t="s">
        <v>193</v>
      </c>
      <c r="B91" s="214"/>
      <c r="C91" s="214"/>
      <c r="D91" s="214"/>
      <c r="E91" s="214"/>
      <c r="F91" s="214"/>
      <c r="G91" s="15">
        <v>204</v>
      </c>
      <c r="H91" s="40">
        <v>0</v>
      </c>
      <c r="I91" s="40">
        <v>0</v>
      </c>
      <c r="J91" s="40">
        <v>0</v>
      </c>
      <c r="K91" s="40">
        <v>0</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13932</v>
      </c>
      <c r="I93" s="40">
        <f>H93-0</f>
        <v>13932</v>
      </c>
      <c r="J93" s="40">
        <v>61920</v>
      </c>
      <c r="K93" s="40">
        <f>J93-37152</f>
        <v>24768</v>
      </c>
    </row>
    <row r="94" spans="1:11" ht="22.15" customHeight="1" x14ac:dyDescent="0.2">
      <c r="A94" s="214" t="s">
        <v>196</v>
      </c>
      <c r="B94" s="214"/>
      <c r="C94" s="214"/>
      <c r="D94" s="214"/>
      <c r="E94" s="214"/>
      <c r="F94" s="214"/>
      <c r="G94" s="15">
        <v>207</v>
      </c>
      <c r="H94" s="40">
        <v>601246</v>
      </c>
      <c r="I94" s="40">
        <f>H94-342812</f>
        <v>258434</v>
      </c>
      <c r="J94" s="40">
        <v>188757</v>
      </c>
      <c r="K94" s="40">
        <f>J94+53725</f>
        <v>242482</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615178</v>
      </c>
      <c r="I100" s="39">
        <f>I90-I99</f>
        <v>272366</v>
      </c>
      <c r="J100" s="39">
        <f>J90-J99</f>
        <v>250677</v>
      </c>
      <c r="K100" s="39">
        <f>K90-K99</f>
        <v>267250</v>
      </c>
    </row>
    <row r="101" spans="1:11" x14ac:dyDescent="0.2">
      <c r="A101" s="211" t="s">
        <v>202</v>
      </c>
      <c r="B101" s="211"/>
      <c r="C101" s="211"/>
      <c r="D101" s="211"/>
      <c r="E101" s="211"/>
      <c r="F101" s="211"/>
      <c r="G101" s="20">
        <v>214</v>
      </c>
      <c r="H101" s="39">
        <f>H89+H100</f>
        <v>-78580249</v>
      </c>
      <c r="I101" s="39">
        <f>I89+I100</f>
        <v>5639703</v>
      </c>
      <c r="J101" s="39">
        <f>J89+J100</f>
        <v>-88495512</v>
      </c>
      <c r="K101" s="39">
        <f>K89+K100</f>
        <v>9935868</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-78580249</v>
      </c>
      <c r="I103" s="39">
        <f>I104+I105</f>
        <v>5639703</v>
      </c>
      <c r="J103" s="39">
        <f>J104+J105</f>
        <v>-88495512</v>
      </c>
      <c r="K103" s="39">
        <f>K104+K105</f>
        <v>9935868</v>
      </c>
    </row>
    <row r="104" spans="1:11" x14ac:dyDescent="0.2">
      <c r="A104" s="213" t="s">
        <v>117</v>
      </c>
      <c r="B104" s="213"/>
      <c r="C104" s="213"/>
      <c r="D104" s="213"/>
      <c r="E104" s="213"/>
      <c r="F104" s="213"/>
      <c r="G104" s="15">
        <v>216</v>
      </c>
      <c r="H104" s="40">
        <f>H101</f>
        <v>-78580249</v>
      </c>
      <c r="I104" s="40">
        <f>I101</f>
        <v>5639703</v>
      </c>
      <c r="J104" s="40">
        <f>J101</f>
        <v>-88495512</v>
      </c>
      <c r="K104" s="40">
        <f>K101</f>
        <v>9935868</v>
      </c>
    </row>
    <row r="105" spans="1:11" x14ac:dyDescent="0.2">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23" sqref="I2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458</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455</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f>RDG!H66</f>
        <v>-79195427</v>
      </c>
      <c r="I8" s="43">
        <f>RDG!J66</f>
        <v>-88746189</v>
      </c>
    </row>
    <row r="9" spans="1:9" ht="12.75" customHeight="1" x14ac:dyDescent="0.2">
      <c r="A9" s="261" t="s">
        <v>211</v>
      </c>
      <c r="B9" s="262"/>
      <c r="C9" s="262"/>
      <c r="D9" s="262"/>
      <c r="E9" s="262"/>
      <c r="F9" s="263"/>
      <c r="G9" s="25">
        <v>2</v>
      </c>
      <c r="H9" s="44">
        <f>H10+H11+H12+H13+H14+H15+H16+H17</f>
        <v>37218437</v>
      </c>
      <c r="I9" s="44">
        <f>I10+I11+I12+I13+I14+I15+I16+I17</f>
        <v>37894652</v>
      </c>
    </row>
    <row r="10" spans="1:9" ht="12.75" customHeight="1" x14ac:dyDescent="0.2">
      <c r="A10" s="258" t="s">
        <v>212</v>
      </c>
      <c r="B10" s="259"/>
      <c r="C10" s="259"/>
      <c r="D10" s="259"/>
      <c r="E10" s="259"/>
      <c r="F10" s="260"/>
      <c r="G10" s="26">
        <v>3</v>
      </c>
      <c r="H10" s="45">
        <v>48993391</v>
      </c>
      <c r="I10" s="45">
        <f>103306893+144183</f>
        <v>103451076</v>
      </c>
    </row>
    <row r="11" spans="1:9" ht="22.15" customHeight="1" x14ac:dyDescent="0.2">
      <c r="A11" s="258" t="s">
        <v>213</v>
      </c>
      <c r="B11" s="259"/>
      <c r="C11" s="259"/>
      <c r="D11" s="259"/>
      <c r="E11" s="259"/>
      <c r="F11" s="260"/>
      <c r="G11" s="26">
        <v>4</v>
      </c>
      <c r="H11" s="45">
        <v>0</v>
      </c>
      <c r="I11" s="45">
        <v>3477</v>
      </c>
    </row>
    <row r="12" spans="1:9" ht="23.45" customHeight="1" x14ac:dyDescent="0.2">
      <c r="A12" s="258" t="s">
        <v>214</v>
      </c>
      <c r="B12" s="259"/>
      <c r="C12" s="259"/>
      <c r="D12" s="259"/>
      <c r="E12" s="259"/>
      <c r="F12" s="260"/>
      <c r="G12" s="26">
        <v>5</v>
      </c>
      <c r="H12" s="45">
        <v>0</v>
      </c>
      <c r="I12" s="45">
        <v>0</v>
      </c>
    </row>
    <row r="13" spans="1:9" ht="12.75" customHeight="1" x14ac:dyDescent="0.2">
      <c r="A13" s="258" t="s">
        <v>215</v>
      </c>
      <c r="B13" s="259"/>
      <c r="C13" s="259"/>
      <c r="D13" s="259"/>
      <c r="E13" s="259"/>
      <c r="F13" s="260"/>
      <c r="G13" s="26">
        <v>6</v>
      </c>
      <c r="H13" s="45">
        <v>-52834</v>
      </c>
      <c r="I13" s="45">
        <v>-145947</v>
      </c>
    </row>
    <row r="14" spans="1:9" ht="12.75" customHeight="1" x14ac:dyDescent="0.2">
      <c r="A14" s="258" t="s">
        <v>216</v>
      </c>
      <c r="B14" s="259"/>
      <c r="C14" s="259"/>
      <c r="D14" s="259"/>
      <c r="E14" s="259"/>
      <c r="F14" s="260"/>
      <c r="G14" s="26">
        <v>7</v>
      </c>
      <c r="H14" s="45">
        <v>2039695</v>
      </c>
      <c r="I14" s="45">
        <f>9946319+9236</f>
        <v>9955555</v>
      </c>
    </row>
    <row r="15" spans="1:9" ht="12.75" customHeight="1" x14ac:dyDescent="0.2">
      <c r="A15" s="258" t="s">
        <v>217</v>
      </c>
      <c r="B15" s="259"/>
      <c r="C15" s="259"/>
      <c r="D15" s="259"/>
      <c r="E15" s="259"/>
      <c r="F15" s="260"/>
      <c r="G15" s="26">
        <v>8</v>
      </c>
      <c r="H15" s="45">
        <v>0</v>
      </c>
      <c r="I15" s="45">
        <v>0</v>
      </c>
    </row>
    <row r="16" spans="1:9" ht="12.75" customHeight="1" x14ac:dyDescent="0.2">
      <c r="A16" s="258" t="s">
        <v>218</v>
      </c>
      <c r="B16" s="259"/>
      <c r="C16" s="259"/>
      <c r="D16" s="259"/>
      <c r="E16" s="259"/>
      <c r="F16" s="260"/>
      <c r="G16" s="26">
        <v>9</v>
      </c>
      <c r="H16" s="45">
        <v>-291553</v>
      </c>
      <c r="I16" s="45">
        <v>301693</v>
      </c>
    </row>
    <row r="17" spans="1:9" ht="25.15" customHeight="1" x14ac:dyDescent="0.2">
      <c r="A17" s="258" t="s">
        <v>219</v>
      </c>
      <c r="B17" s="259"/>
      <c r="C17" s="259"/>
      <c r="D17" s="259"/>
      <c r="E17" s="259"/>
      <c r="F17" s="260"/>
      <c r="G17" s="26">
        <v>10</v>
      </c>
      <c r="H17" s="45">
        <v>-13470262</v>
      </c>
      <c r="I17" s="45">
        <f>-75394701-276501</f>
        <v>-75671202</v>
      </c>
    </row>
    <row r="18" spans="1:9" ht="28.15" customHeight="1" x14ac:dyDescent="0.2">
      <c r="A18" s="237" t="s">
        <v>390</v>
      </c>
      <c r="B18" s="238"/>
      <c r="C18" s="238"/>
      <c r="D18" s="238"/>
      <c r="E18" s="238"/>
      <c r="F18" s="239"/>
      <c r="G18" s="25">
        <v>11</v>
      </c>
      <c r="H18" s="44">
        <f>H8+H9</f>
        <v>-41976990</v>
      </c>
      <c r="I18" s="44">
        <f>I8+I9</f>
        <v>-50851537</v>
      </c>
    </row>
    <row r="19" spans="1:9" ht="12.75" customHeight="1" x14ac:dyDescent="0.2">
      <c r="A19" s="261" t="s">
        <v>220</v>
      </c>
      <c r="B19" s="262"/>
      <c r="C19" s="262"/>
      <c r="D19" s="262"/>
      <c r="E19" s="262"/>
      <c r="F19" s="263"/>
      <c r="G19" s="25">
        <v>12</v>
      </c>
      <c r="H19" s="44">
        <f>H20+H21+H22+H23</f>
        <v>113230290</v>
      </c>
      <c r="I19" s="44">
        <f>I20+I21+I22+I23</f>
        <v>212399527</v>
      </c>
    </row>
    <row r="20" spans="1:9" ht="12.75" customHeight="1" x14ac:dyDescent="0.2">
      <c r="A20" s="258" t="s">
        <v>221</v>
      </c>
      <c r="B20" s="259"/>
      <c r="C20" s="259"/>
      <c r="D20" s="259"/>
      <c r="E20" s="259"/>
      <c r="F20" s="260"/>
      <c r="G20" s="26">
        <v>13</v>
      </c>
      <c r="H20" s="45">
        <v>170562460</v>
      </c>
      <c r="I20" s="45">
        <f>303267083+92726+56583+126886</f>
        <v>303543278</v>
      </c>
    </row>
    <row r="21" spans="1:9" ht="12.75" customHeight="1" x14ac:dyDescent="0.2">
      <c r="A21" s="258" t="s">
        <v>222</v>
      </c>
      <c r="B21" s="259"/>
      <c r="C21" s="259"/>
      <c r="D21" s="259"/>
      <c r="E21" s="259"/>
      <c r="F21" s="260"/>
      <c r="G21" s="26">
        <v>14</v>
      </c>
      <c r="H21" s="45">
        <v>-58483245</v>
      </c>
      <c r="I21" s="45">
        <f>-35820453+364737</f>
        <v>-35455716</v>
      </c>
    </row>
    <row r="22" spans="1:9" ht="12.75" customHeight="1" x14ac:dyDescent="0.2">
      <c r="A22" s="258" t="s">
        <v>223</v>
      </c>
      <c r="B22" s="259"/>
      <c r="C22" s="259"/>
      <c r="D22" s="259"/>
      <c r="E22" s="259"/>
      <c r="F22" s="260"/>
      <c r="G22" s="26">
        <v>15</v>
      </c>
      <c r="H22" s="45">
        <v>-4452890</v>
      </c>
      <c r="I22" s="45">
        <v>-693114</v>
      </c>
    </row>
    <row r="23" spans="1:9" ht="12.75" customHeight="1" x14ac:dyDescent="0.2">
      <c r="A23" s="258" t="s">
        <v>224</v>
      </c>
      <c r="B23" s="259"/>
      <c r="C23" s="259"/>
      <c r="D23" s="259"/>
      <c r="E23" s="259"/>
      <c r="F23" s="260"/>
      <c r="G23" s="26">
        <v>16</v>
      </c>
      <c r="H23" s="45">
        <v>5603965</v>
      </c>
      <c r="I23" s="45">
        <v>-54994921</v>
      </c>
    </row>
    <row r="24" spans="1:9" ht="12.75" customHeight="1" x14ac:dyDescent="0.2">
      <c r="A24" s="237" t="s">
        <v>225</v>
      </c>
      <c r="B24" s="238"/>
      <c r="C24" s="238"/>
      <c r="D24" s="238"/>
      <c r="E24" s="238"/>
      <c r="F24" s="239"/>
      <c r="G24" s="25">
        <v>17</v>
      </c>
      <c r="H24" s="44">
        <f>H18+H19</f>
        <v>71253300</v>
      </c>
      <c r="I24" s="44">
        <f>I18+I19</f>
        <v>161547990</v>
      </c>
    </row>
    <row r="25" spans="1:9" ht="12.75" customHeight="1" x14ac:dyDescent="0.2">
      <c r="A25" s="249" t="s">
        <v>226</v>
      </c>
      <c r="B25" s="250"/>
      <c r="C25" s="250"/>
      <c r="D25" s="250"/>
      <c r="E25" s="250"/>
      <c r="F25" s="251"/>
      <c r="G25" s="26">
        <v>18</v>
      </c>
      <c r="H25" s="45">
        <v>-1964886</v>
      </c>
      <c r="I25" s="45">
        <v>-1758981</v>
      </c>
    </row>
    <row r="26" spans="1:9" ht="12.75" customHeight="1" x14ac:dyDescent="0.2">
      <c r="A26" s="249" t="s">
        <v>227</v>
      </c>
      <c r="B26" s="250"/>
      <c r="C26" s="250"/>
      <c r="D26" s="250"/>
      <c r="E26" s="250"/>
      <c r="F26" s="251"/>
      <c r="G26" s="26">
        <v>19</v>
      </c>
      <c r="H26" s="45">
        <f>-217672-1</f>
        <v>-217673</v>
      </c>
      <c r="I26" s="45">
        <v>-364737</v>
      </c>
    </row>
    <row r="27" spans="1:9" ht="25.9" customHeight="1" x14ac:dyDescent="0.2">
      <c r="A27" s="240" t="s">
        <v>228</v>
      </c>
      <c r="B27" s="241"/>
      <c r="C27" s="241"/>
      <c r="D27" s="241"/>
      <c r="E27" s="241"/>
      <c r="F27" s="242"/>
      <c r="G27" s="27">
        <v>20</v>
      </c>
      <c r="H27" s="46">
        <f>H24+H25+H26</f>
        <v>69070741</v>
      </c>
      <c r="I27" s="46">
        <f>I24+I25+I26</f>
        <v>159424272</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5145</v>
      </c>
      <c r="I29" s="47">
        <v>44118</v>
      </c>
    </row>
    <row r="30" spans="1:9" ht="12.75" customHeight="1" x14ac:dyDescent="0.2">
      <c r="A30" s="249" t="s">
        <v>231</v>
      </c>
      <c r="B30" s="250"/>
      <c r="C30" s="250"/>
      <c r="D30" s="250"/>
      <c r="E30" s="250"/>
      <c r="F30" s="251"/>
      <c r="G30" s="26">
        <v>22</v>
      </c>
      <c r="H30" s="48">
        <v>0</v>
      </c>
      <c r="I30" s="48">
        <v>0</v>
      </c>
    </row>
    <row r="31" spans="1:9" ht="12.75" customHeight="1" x14ac:dyDescent="0.2">
      <c r="A31" s="249" t="s">
        <v>232</v>
      </c>
      <c r="B31" s="250"/>
      <c r="C31" s="250"/>
      <c r="D31" s="250"/>
      <c r="E31" s="250"/>
      <c r="F31" s="251"/>
      <c r="G31" s="26">
        <v>23</v>
      </c>
      <c r="H31" s="48">
        <v>0</v>
      </c>
      <c r="I31" s="48">
        <v>0</v>
      </c>
    </row>
    <row r="32" spans="1:9" ht="12.75" customHeight="1" x14ac:dyDescent="0.2">
      <c r="A32" s="249" t="s">
        <v>233</v>
      </c>
      <c r="B32" s="250"/>
      <c r="C32" s="250"/>
      <c r="D32" s="250"/>
      <c r="E32" s="250"/>
      <c r="F32" s="251"/>
      <c r="G32" s="26">
        <v>24</v>
      </c>
      <c r="H32" s="48">
        <v>0</v>
      </c>
      <c r="I32" s="48">
        <v>0</v>
      </c>
    </row>
    <row r="33" spans="1:9" ht="12.75" customHeight="1" x14ac:dyDescent="0.2">
      <c r="A33" s="249" t="s">
        <v>234</v>
      </c>
      <c r="B33" s="250"/>
      <c r="C33" s="250"/>
      <c r="D33" s="250"/>
      <c r="E33" s="250"/>
      <c r="F33" s="251"/>
      <c r="G33" s="26">
        <v>25</v>
      </c>
      <c r="H33" s="48">
        <v>0</v>
      </c>
      <c r="I33" s="48">
        <v>0</v>
      </c>
    </row>
    <row r="34" spans="1:9" ht="12.75" customHeight="1" x14ac:dyDescent="0.2">
      <c r="A34" s="249" t="s">
        <v>235</v>
      </c>
      <c r="B34" s="250"/>
      <c r="C34" s="250"/>
      <c r="D34" s="250"/>
      <c r="E34" s="250"/>
      <c r="F34" s="251"/>
      <c r="G34" s="26">
        <v>26</v>
      </c>
      <c r="H34" s="48">
        <v>0</v>
      </c>
      <c r="I34" s="48">
        <v>0</v>
      </c>
    </row>
    <row r="35" spans="1:9" ht="26.45" customHeight="1" x14ac:dyDescent="0.2">
      <c r="A35" s="237" t="s">
        <v>236</v>
      </c>
      <c r="B35" s="238"/>
      <c r="C35" s="238"/>
      <c r="D35" s="238"/>
      <c r="E35" s="238"/>
      <c r="F35" s="239"/>
      <c r="G35" s="25">
        <v>27</v>
      </c>
      <c r="H35" s="49">
        <f>H29+H30+H31+H32+H33+H34</f>
        <v>5145</v>
      </c>
      <c r="I35" s="49">
        <f>I29+I30+I31+I32+I33+I34</f>
        <v>44118</v>
      </c>
    </row>
    <row r="36" spans="1:9" ht="22.9" customHeight="1" x14ac:dyDescent="0.2">
      <c r="A36" s="249" t="s">
        <v>237</v>
      </c>
      <c r="B36" s="250"/>
      <c r="C36" s="250"/>
      <c r="D36" s="250"/>
      <c r="E36" s="250"/>
      <c r="F36" s="251"/>
      <c r="G36" s="26">
        <v>28</v>
      </c>
      <c r="H36" s="48">
        <v>-70551712</v>
      </c>
      <c r="I36" s="48">
        <v>-64334588</v>
      </c>
    </row>
    <row r="37" spans="1:9" ht="12.75" customHeight="1" x14ac:dyDescent="0.2">
      <c r="A37" s="249" t="s">
        <v>238</v>
      </c>
      <c r="B37" s="250"/>
      <c r="C37" s="250"/>
      <c r="D37" s="250"/>
      <c r="E37" s="250"/>
      <c r="F37" s="251"/>
      <c r="G37" s="26">
        <v>29</v>
      </c>
      <c r="H37" s="48">
        <v>0</v>
      </c>
      <c r="I37" s="48">
        <v>0</v>
      </c>
    </row>
    <row r="38" spans="1:9" ht="12.75" customHeight="1" x14ac:dyDescent="0.2">
      <c r="A38" s="249" t="s">
        <v>239</v>
      </c>
      <c r="B38" s="250"/>
      <c r="C38" s="250"/>
      <c r="D38" s="250"/>
      <c r="E38" s="250"/>
      <c r="F38" s="251"/>
      <c r="G38" s="26">
        <v>30</v>
      </c>
      <c r="H38" s="48">
        <v>0</v>
      </c>
      <c r="I38" s="48">
        <v>0</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0</v>
      </c>
      <c r="I40" s="48">
        <v>0</v>
      </c>
    </row>
    <row r="41" spans="1:9" ht="24" customHeight="1" x14ac:dyDescent="0.2">
      <c r="A41" s="237" t="s">
        <v>242</v>
      </c>
      <c r="B41" s="238"/>
      <c r="C41" s="238"/>
      <c r="D41" s="238"/>
      <c r="E41" s="238"/>
      <c r="F41" s="239"/>
      <c r="G41" s="25">
        <v>33</v>
      </c>
      <c r="H41" s="49">
        <f>H36+H37+H38+H39+H40</f>
        <v>-70551712</v>
      </c>
      <c r="I41" s="49">
        <f>I36+I37+I38+I39+I40</f>
        <v>-64334588</v>
      </c>
    </row>
    <row r="42" spans="1:9" ht="29.45" customHeight="1" x14ac:dyDescent="0.2">
      <c r="A42" s="240" t="s">
        <v>243</v>
      </c>
      <c r="B42" s="241"/>
      <c r="C42" s="241"/>
      <c r="D42" s="241"/>
      <c r="E42" s="241"/>
      <c r="F42" s="242"/>
      <c r="G42" s="27">
        <v>34</v>
      </c>
      <c r="H42" s="50">
        <f>H35+H41</f>
        <v>-70546567</v>
      </c>
      <c r="I42" s="50">
        <f>I35+I41</f>
        <v>-64290470</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62727573</v>
      </c>
      <c r="I46" s="48">
        <v>0</v>
      </c>
    </row>
    <row r="47" spans="1:9" ht="12.75" customHeight="1" x14ac:dyDescent="0.2">
      <c r="A47" s="249" t="s">
        <v>248</v>
      </c>
      <c r="B47" s="250"/>
      <c r="C47" s="250"/>
      <c r="D47" s="250"/>
      <c r="E47" s="250"/>
      <c r="F47" s="251"/>
      <c r="G47" s="26">
        <v>38</v>
      </c>
      <c r="H47" s="48">
        <v>0</v>
      </c>
      <c r="I47" s="48">
        <v>0</v>
      </c>
    </row>
    <row r="48" spans="1:9" ht="22.15" customHeight="1" x14ac:dyDescent="0.2">
      <c r="A48" s="237" t="s">
        <v>249</v>
      </c>
      <c r="B48" s="238"/>
      <c r="C48" s="238"/>
      <c r="D48" s="238"/>
      <c r="E48" s="238"/>
      <c r="F48" s="239"/>
      <c r="G48" s="25">
        <v>39</v>
      </c>
      <c r="H48" s="49">
        <f>H44+H45+H46+H47</f>
        <v>62727573</v>
      </c>
      <c r="I48" s="49">
        <f>I44+I45+I46+I47</f>
        <v>0</v>
      </c>
    </row>
    <row r="49" spans="1:9" ht="24.6" customHeight="1" x14ac:dyDescent="0.2">
      <c r="A49" s="249" t="s">
        <v>389</v>
      </c>
      <c r="B49" s="250"/>
      <c r="C49" s="250"/>
      <c r="D49" s="250"/>
      <c r="E49" s="250"/>
      <c r="F49" s="251"/>
      <c r="G49" s="26">
        <v>40</v>
      </c>
      <c r="H49" s="48">
        <v>-22029826</v>
      </c>
      <c r="I49" s="48">
        <v>-20547111</v>
      </c>
    </row>
    <row r="50" spans="1:9" ht="12.75" customHeight="1" x14ac:dyDescent="0.2">
      <c r="A50" s="249" t="s">
        <v>250</v>
      </c>
      <c r="B50" s="250"/>
      <c r="C50" s="250"/>
      <c r="D50" s="250"/>
      <c r="E50" s="250"/>
      <c r="F50" s="251"/>
      <c r="G50" s="26">
        <v>41</v>
      </c>
      <c r="H50" s="48">
        <v>0</v>
      </c>
      <c r="I50" s="48">
        <v>0</v>
      </c>
    </row>
    <row r="51" spans="1:9" ht="12.75" customHeight="1" x14ac:dyDescent="0.2">
      <c r="A51" s="249" t="s">
        <v>251</v>
      </c>
      <c r="B51" s="250"/>
      <c r="C51" s="250"/>
      <c r="D51" s="250"/>
      <c r="E51" s="250"/>
      <c r="F51" s="251"/>
      <c r="G51" s="26">
        <v>42</v>
      </c>
      <c r="H51" s="48">
        <v>0</v>
      </c>
      <c r="I51" s="48">
        <v>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0</v>
      </c>
      <c r="I53" s="48">
        <f>-48032984-92726-56583</f>
        <v>-48182293</v>
      </c>
    </row>
    <row r="54" spans="1:9" ht="30.6" customHeight="1" x14ac:dyDescent="0.2">
      <c r="A54" s="237" t="s">
        <v>254</v>
      </c>
      <c r="B54" s="238"/>
      <c r="C54" s="238"/>
      <c r="D54" s="238"/>
      <c r="E54" s="238"/>
      <c r="F54" s="239"/>
      <c r="G54" s="25">
        <v>45</v>
      </c>
      <c r="H54" s="49">
        <f>H49+H50+H51+H52+H53</f>
        <v>-22029826</v>
      </c>
      <c r="I54" s="49">
        <f>I49+I50+I51+I52+I53</f>
        <v>-68729404</v>
      </c>
    </row>
    <row r="55" spans="1:9" ht="29.45" customHeight="1" x14ac:dyDescent="0.2">
      <c r="A55" s="252" t="s">
        <v>255</v>
      </c>
      <c r="B55" s="253"/>
      <c r="C55" s="253"/>
      <c r="D55" s="253"/>
      <c r="E55" s="253"/>
      <c r="F55" s="254"/>
      <c r="G55" s="25">
        <v>46</v>
      </c>
      <c r="H55" s="49">
        <f>H48+H54</f>
        <v>40697747</v>
      </c>
      <c r="I55" s="49">
        <f>I48+I54</f>
        <v>-68729404</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39221921</v>
      </c>
      <c r="I57" s="49">
        <f>I27+I42+I55+I56</f>
        <v>26404398</v>
      </c>
    </row>
    <row r="58" spans="1:9" x14ac:dyDescent="0.2">
      <c r="A58" s="255" t="s">
        <v>258</v>
      </c>
      <c r="B58" s="256"/>
      <c r="C58" s="256"/>
      <c r="D58" s="256"/>
      <c r="E58" s="256"/>
      <c r="F58" s="257"/>
      <c r="G58" s="26">
        <v>49</v>
      </c>
      <c r="H58" s="48">
        <v>40834586</v>
      </c>
      <c r="I58" s="48">
        <v>20637954</v>
      </c>
    </row>
    <row r="59" spans="1:9" ht="31.15" customHeight="1" x14ac:dyDescent="0.2">
      <c r="A59" s="240" t="s">
        <v>259</v>
      </c>
      <c r="B59" s="241"/>
      <c r="C59" s="241"/>
      <c r="D59" s="241"/>
      <c r="E59" s="241"/>
      <c r="F59" s="242"/>
      <c r="G59" s="27">
        <v>50</v>
      </c>
      <c r="H59" s="50">
        <f>H57+H58</f>
        <v>80056507</v>
      </c>
      <c r="I59" s="50">
        <f>I57+I58</f>
        <v>47042352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412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413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J16" sqref="J16"/>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43555</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277879530</v>
      </c>
      <c r="I7" s="65">
        <v>0</v>
      </c>
      <c r="J7" s="65">
        <v>14549784</v>
      </c>
      <c r="K7" s="65">
        <v>0</v>
      </c>
      <c r="L7" s="65">
        <v>2940</v>
      </c>
      <c r="M7" s="65">
        <v>0</v>
      </c>
      <c r="N7" s="65">
        <v>89935979</v>
      </c>
      <c r="O7" s="65">
        <v>0</v>
      </c>
      <c r="P7" s="65">
        <v>-919512</v>
      </c>
      <c r="Q7" s="65">
        <v>-823660</v>
      </c>
      <c r="R7" s="65">
        <v>0</v>
      </c>
      <c r="S7" s="65">
        <v>1439931</v>
      </c>
      <c r="T7" s="65">
        <v>7416234</v>
      </c>
      <c r="U7" s="66">
        <f>H7+I7+J7+K7-L7+M7+N7+O7+P7+Q7+R7+S7+T7</f>
        <v>389475346</v>
      </c>
      <c r="V7" s="65">
        <v>0</v>
      </c>
      <c r="W7" s="66">
        <f>U7+V7</f>
        <v>389475346</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277879530</v>
      </c>
      <c r="I10" s="66">
        <f t="shared" ref="I10:W10" si="2">I7+I8+I9</f>
        <v>0</v>
      </c>
      <c r="J10" s="66">
        <f t="shared" si="2"/>
        <v>14549784</v>
      </c>
      <c r="K10" s="66">
        <f>K7+K8+K9</f>
        <v>0</v>
      </c>
      <c r="L10" s="66">
        <f t="shared" si="2"/>
        <v>2940</v>
      </c>
      <c r="M10" s="66">
        <f t="shared" si="2"/>
        <v>0</v>
      </c>
      <c r="N10" s="66">
        <f t="shared" si="2"/>
        <v>89935979</v>
      </c>
      <c r="O10" s="66">
        <f t="shared" si="2"/>
        <v>0</v>
      </c>
      <c r="P10" s="66">
        <f t="shared" si="2"/>
        <v>-919512</v>
      </c>
      <c r="Q10" s="66">
        <f t="shared" si="2"/>
        <v>-823660</v>
      </c>
      <c r="R10" s="66">
        <f t="shared" si="2"/>
        <v>0</v>
      </c>
      <c r="S10" s="66">
        <f t="shared" si="2"/>
        <v>1439931</v>
      </c>
      <c r="T10" s="66">
        <f t="shared" si="2"/>
        <v>7416234</v>
      </c>
      <c r="U10" s="66">
        <f t="shared" si="2"/>
        <v>389475346</v>
      </c>
      <c r="V10" s="66">
        <f t="shared" si="2"/>
        <v>0</v>
      </c>
      <c r="W10" s="66">
        <f t="shared" si="2"/>
        <v>389475346</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-79195427</v>
      </c>
      <c r="U11" s="66">
        <f>H11+I11+J11+K11-L11+M11+N11+O11+P11+Q11+R11+S11+T11</f>
        <v>-79195427</v>
      </c>
      <c r="V11" s="65">
        <v>0</v>
      </c>
      <c r="W11" s="66">
        <f t="shared" ref="W11:W28" si="3">U11+V11</f>
        <v>-79195427</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13932</v>
      </c>
      <c r="Q14" s="67">
        <v>0</v>
      </c>
      <c r="R14" s="67">
        <v>0</v>
      </c>
      <c r="S14" s="65">
        <v>0</v>
      </c>
      <c r="T14" s="65">
        <v>0</v>
      </c>
      <c r="U14" s="66">
        <f t="shared" si="4"/>
        <v>13932</v>
      </c>
      <c r="V14" s="65">
        <v>0</v>
      </c>
      <c r="W14" s="66">
        <f t="shared" si="3"/>
        <v>13932</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601246</v>
      </c>
      <c r="R15" s="67">
        <v>0</v>
      </c>
      <c r="S15" s="65">
        <v>0</v>
      </c>
      <c r="T15" s="65">
        <v>0</v>
      </c>
      <c r="U15" s="66">
        <f t="shared" si="4"/>
        <v>601246</v>
      </c>
      <c r="V15" s="65">
        <v>0</v>
      </c>
      <c r="W15" s="66">
        <f t="shared" si="3"/>
        <v>601246</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23015</v>
      </c>
      <c r="O27" s="65">
        <v>0</v>
      </c>
      <c r="P27" s="65">
        <v>0</v>
      </c>
      <c r="Q27" s="65">
        <v>0</v>
      </c>
      <c r="R27" s="65">
        <v>0</v>
      </c>
      <c r="S27" s="65">
        <f>7416234-23015</f>
        <v>7393219</v>
      </c>
      <c r="T27" s="65">
        <v>-7416234</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277879530</v>
      </c>
      <c r="I29" s="68">
        <f t="shared" ref="I29:W29" si="5">SUM(I10:I28)</f>
        <v>0</v>
      </c>
      <c r="J29" s="68">
        <f t="shared" si="5"/>
        <v>14549784</v>
      </c>
      <c r="K29" s="68">
        <f t="shared" si="5"/>
        <v>0</v>
      </c>
      <c r="L29" s="68">
        <f t="shared" si="5"/>
        <v>2940</v>
      </c>
      <c r="M29" s="68">
        <f t="shared" si="5"/>
        <v>0</v>
      </c>
      <c r="N29" s="68">
        <f t="shared" si="5"/>
        <v>89958994</v>
      </c>
      <c r="O29" s="68">
        <f t="shared" si="5"/>
        <v>0</v>
      </c>
      <c r="P29" s="68">
        <f t="shared" si="5"/>
        <v>-905580</v>
      </c>
      <c r="Q29" s="68">
        <f t="shared" si="5"/>
        <v>-222414</v>
      </c>
      <c r="R29" s="68">
        <f t="shared" si="5"/>
        <v>0</v>
      </c>
      <c r="S29" s="68">
        <f t="shared" si="5"/>
        <v>8833150</v>
      </c>
      <c r="T29" s="68">
        <f t="shared" si="5"/>
        <v>-79195427</v>
      </c>
      <c r="U29" s="68">
        <f t="shared" si="5"/>
        <v>310895097</v>
      </c>
      <c r="V29" s="68">
        <f t="shared" si="5"/>
        <v>0</v>
      </c>
      <c r="W29" s="68">
        <f t="shared" si="5"/>
        <v>310895097</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13932</v>
      </c>
      <c r="Q31" s="66">
        <f t="shared" si="6"/>
        <v>601246</v>
      </c>
      <c r="R31" s="66">
        <f t="shared" si="6"/>
        <v>0</v>
      </c>
      <c r="S31" s="66">
        <f t="shared" si="6"/>
        <v>0</v>
      </c>
      <c r="T31" s="66">
        <f t="shared" si="6"/>
        <v>0</v>
      </c>
      <c r="U31" s="66">
        <f t="shared" si="6"/>
        <v>615178</v>
      </c>
      <c r="V31" s="66">
        <f t="shared" si="6"/>
        <v>0</v>
      </c>
      <c r="W31" s="66">
        <f t="shared" si="6"/>
        <v>615178</v>
      </c>
    </row>
    <row r="32" spans="1:23" ht="31.5" customHeight="1" x14ac:dyDescent="0.2">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13932</v>
      </c>
      <c r="Q32" s="66">
        <f t="shared" si="7"/>
        <v>601246</v>
      </c>
      <c r="R32" s="66">
        <f t="shared" si="7"/>
        <v>0</v>
      </c>
      <c r="S32" s="66">
        <f t="shared" si="7"/>
        <v>0</v>
      </c>
      <c r="T32" s="66">
        <f t="shared" si="7"/>
        <v>-79195427</v>
      </c>
      <c r="U32" s="66">
        <f t="shared" si="7"/>
        <v>-78580249</v>
      </c>
      <c r="V32" s="66">
        <f t="shared" si="7"/>
        <v>0</v>
      </c>
      <c r="W32" s="66">
        <f t="shared" si="7"/>
        <v>-78580249</v>
      </c>
    </row>
    <row r="33" spans="1:23" ht="30.75" customHeight="1" x14ac:dyDescent="0.2">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23015</v>
      </c>
      <c r="O33" s="68">
        <f t="shared" si="8"/>
        <v>0</v>
      </c>
      <c r="P33" s="68">
        <f t="shared" si="8"/>
        <v>0</v>
      </c>
      <c r="Q33" s="68">
        <f t="shared" si="8"/>
        <v>0</v>
      </c>
      <c r="R33" s="68">
        <f t="shared" si="8"/>
        <v>0</v>
      </c>
      <c r="S33" s="68">
        <f t="shared" si="8"/>
        <v>7393219</v>
      </c>
      <c r="T33" s="68">
        <f t="shared" si="8"/>
        <v>-7416234</v>
      </c>
      <c r="U33" s="68">
        <f t="shared" si="8"/>
        <v>0</v>
      </c>
      <c r="V33" s="68">
        <f t="shared" si="8"/>
        <v>0</v>
      </c>
      <c r="W33" s="68">
        <f t="shared" si="8"/>
        <v>0</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277879530</v>
      </c>
      <c r="I35" s="65">
        <v>0</v>
      </c>
      <c r="J35" s="65">
        <v>14549784</v>
      </c>
      <c r="K35" s="65">
        <v>0</v>
      </c>
      <c r="L35" s="65">
        <v>2940</v>
      </c>
      <c r="M35" s="65">
        <v>0</v>
      </c>
      <c r="N35" s="65">
        <v>97296225</v>
      </c>
      <c r="O35" s="65">
        <v>0</v>
      </c>
      <c r="P35" s="65">
        <v>-1006200</v>
      </c>
      <c r="Q35" s="65">
        <v>-372676</v>
      </c>
      <c r="R35" s="65">
        <v>0</v>
      </c>
      <c r="S35" s="65">
        <v>1495919</v>
      </c>
      <c r="T35" s="65">
        <v>-81687612</v>
      </c>
      <c r="U35" s="69">
        <f t="shared" ref="U35:U37" si="9">H35+I35+J35+K35-L35+M35+N35+O35+P35+Q35+R35+S35+T35</f>
        <v>308152030</v>
      </c>
      <c r="V35" s="65">
        <v>0</v>
      </c>
      <c r="W35" s="69">
        <f t="shared" ref="W35:W37" si="10">U35+V35</f>
        <v>308152030</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277879530</v>
      </c>
      <c r="I38" s="69">
        <f t="shared" ref="I38:W38" si="11">I35+I36+I37</f>
        <v>0</v>
      </c>
      <c r="J38" s="69">
        <f t="shared" si="11"/>
        <v>14549784</v>
      </c>
      <c r="K38" s="69">
        <f t="shared" si="11"/>
        <v>0</v>
      </c>
      <c r="L38" s="69">
        <f t="shared" si="11"/>
        <v>2940</v>
      </c>
      <c r="M38" s="69">
        <f t="shared" si="11"/>
        <v>0</v>
      </c>
      <c r="N38" s="69">
        <f t="shared" si="11"/>
        <v>97296225</v>
      </c>
      <c r="O38" s="69">
        <f t="shared" si="11"/>
        <v>0</v>
      </c>
      <c r="P38" s="69">
        <f t="shared" si="11"/>
        <v>-1006200</v>
      </c>
      <c r="Q38" s="69">
        <f t="shared" si="11"/>
        <v>-372676</v>
      </c>
      <c r="R38" s="69">
        <f t="shared" si="11"/>
        <v>0</v>
      </c>
      <c r="S38" s="69">
        <f t="shared" si="11"/>
        <v>1495919</v>
      </c>
      <c r="T38" s="69">
        <f t="shared" si="11"/>
        <v>-81687612</v>
      </c>
      <c r="U38" s="69">
        <f t="shared" si="11"/>
        <v>308152030</v>
      </c>
      <c r="V38" s="69">
        <f t="shared" si="11"/>
        <v>0</v>
      </c>
      <c r="W38" s="69">
        <f t="shared" si="11"/>
        <v>308152030</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f>RDG!J66</f>
        <v>-88746189</v>
      </c>
      <c r="U39" s="69">
        <f t="shared" ref="U39:U56" si="12">H39+I39+J39+K39-L39+M39+N39+O39+P39+Q39+R39+S39+T39</f>
        <v>-88746189</v>
      </c>
      <c r="V39" s="65">
        <v>0</v>
      </c>
      <c r="W39" s="69">
        <f t="shared" ref="W39:W56" si="13">U39+V39</f>
        <v>-88746189</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61920</v>
      </c>
      <c r="Q42" s="67">
        <v>0</v>
      </c>
      <c r="R42" s="67">
        <v>0</v>
      </c>
      <c r="S42" s="65">
        <v>0</v>
      </c>
      <c r="T42" s="65">
        <v>0</v>
      </c>
      <c r="U42" s="69">
        <f t="shared" si="12"/>
        <v>61920</v>
      </c>
      <c r="V42" s="65">
        <v>0</v>
      </c>
      <c r="W42" s="69">
        <f t="shared" si="13"/>
        <v>61920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f>188757-1</f>
        <v>188756</v>
      </c>
      <c r="R43" s="67">
        <v>0</v>
      </c>
      <c r="S43" s="65">
        <v>0</v>
      </c>
      <c r="T43" s="65">
        <v>0</v>
      </c>
      <c r="U43" s="69">
        <f t="shared" si="12"/>
        <v>188756</v>
      </c>
      <c r="V43" s="65">
        <v>0</v>
      </c>
      <c r="W43" s="69">
        <f t="shared" si="13"/>
        <v>188756</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953641</v>
      </c>
      <c r="O55" s="65">
        <v>0</v>
      </c>
      <c r="P55" s="65">
        <v>0</v>
      </c>
      <c r="Q55" s="65">
        <v>0</v>
      </c>
      <c r="R55" s="65">
        <v>0</v>
      </c>
      <c r="S55" s="65">
        <v>-82641253</v>
      </c>
      <c r="T55" s="65">
        <f>Bilanca!H94</f>
        <v>81687612</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277879530</v>
      </c>
      <c r="I57" s="70">
        <f t="shared" ref="I57:W57" si="14">SUM(I38:I56)</f>
        <v>0</v>
      </c>
      <c r="J57" s="70">
        <f t="shared" si="14"/>
        <v>14549784</v>
      </c>
      <c r="K57" s="70">
        <f t="shared" si="14"/>
        <v>0</v>
      </c>
      <c r="L57" s="70">
        <f t="shared" si="14"/>
        <v>2940</v>
      </c>
      <c r="M57" s="70">
        <f t="shared" si="14"/>
        <v>0</v>
      </c>
      <c r="N57" s="70">
        <f t="shared" si="14"/>
        <v>98249866</v>
      </c>
      <c r="O57" s="70">
        <f t="shared" si="14"/>
        <v>0</v>
      </c>
      <c r="P57" s="70">
        <f t="shared" si="14"/>
        <v>-944280</v>
      </c>
      <c r="Q57" s="70">
        <f t="shared" si="14"/>
        <v>-183920</v>
      </c>
      <c r="R57" s="70">
        <f t="shared" si="14"/>
        <v>0</v>
      </c>
      <c r="S57" s="70">
        <f t="shared" si="14"/>
        <v>-81145334</v>
      </c>
      <c r="T57" s="70">
        <f t="shared" si="14"/>
        <v>-88746189</v>
      </c>
      <c r="U57" s="70">
        <f t="shared" si="14"/>
        <v>219656517</v>
      </c>
      <c r="V57" s="70">
        <f t="shared" si="14"/>
        <v>0</v>
      </c>
      <c r="W57" s="70">
        <f t="shared" si="14"/>
        <v>219656517</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61920</v>
      </c>
      <c r="Q59" s="69">
        <f t="shared" si="15"/>
        <v>188756</v>
      </c>
      <c r="R59" s="69">
        <f t="shared" si="15"/>
        <v>0</v>
      </c>
      <c r="S59" s="69">
        <f t="shared" si="15"/>
        <v>0</v>
      </c>
      <c r="T59" s="69">
        <f t="shared" si="15"/>
        <v>0</v>
      </c>
      <c r="U59" s="69">
        <f t="shared" si="15"/>
        <v>250676</v>
      </c>
      <c r="V59" s="69">
        <f t="shared" si="15"/>
        <v>0</v>
      </c>
      <c r="W59" s="69">
        <f t="shared" si="15"/>
        <v>250676</v>
      </c>
    </row>
    <row r="60" spans="1:23" ht="27.75" customHeight="1" x14ac:dyDescent="0.2">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61920</v>
      </c>
      <c r="Q60" s="69">
        <f t="shared" si="16"/>
        <v>188756</v>
      </c>
      <c r="R60" s="69">
        <f t="shared" si="16"/>
        <v>0</v>
      </c>
      <c r="S60" s="69">
        <f t="shared" si="16"/>
        <v>0</v>
      </c>
      <c r="T60" s="69">
        <f t="shared" si="16"/>
        <v>-88746189</v>
      </c>
      <c r="U60" s="69">
        <f t="shared" si="16"/>
        <v>-88495513</v>
      </c>
      <c r="V60" s="69">
        <f t="shared" si="16"/>
        <v>0</v>
      </c>
      <c r="W60" s="69">
        <f t="shared" si="16"/>
        <v>-88495513</v>
      </c>
    </row>
    <row r="61" spans="1:23" ht="29.25" customHeight="1" x14ac:dyDescent="0.2">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953641</v>
      </c>
      <c r="O61" s="70">
        <f t="shared" si="17"/>
        <v>0</v>
      </c>
      <c r="P61" s="70">
        <f t="shared" si="17"/>
        <v>0</v>
      </c>
      <c r="Q61" s="70">
        <f t="shared" si="17"/>
        <v>0</v>
      </c>
      <c r="R61" s="70">
        <f t="shared" si="17"/>
        <v>0</v>
      </c>
      <c r="S61" s="70">
        <f t="shared" si="17"/>
        <v>-82641253</v>
      </c>
      <c r="T61" s="70">
        <f t="shared" si="17"/>
        <v>81687612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8" t="s">
        <v>459</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22baa3bd-a2fa-4ea9-9ebb-3a9c6a55952b"/>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2019-07-31T07:33:44Z</cp:lastPrinted>
  <dcterms:created xsi:type="dcterms:W3CDTF">2008-10-17T11:51:54Z</dcterms:created>
  <dcterms:modified xsi:type="dcterms:W3CDTF">2019-07-31T08:43:22Z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