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tn-6fps\vm_bilanca$\FINANCIJSKA IZVJESCA\JAVNA OBJAVA\JAVNA OBJAVA PO ZTK\2021 Javna objava ZTK\2021-03-31 Javna objava ZTK\"/>
    </mc:Choice>
  </mc:AlternateContent>
  <xr:revisionPtr revIDLastSave="0" documentId="13_ncr:1_{DAE8CF88-9A05-48EF-BF6E-EB5BC26CF0AD}" xr6:coauthVersionLast="46" xr6:coauthVersionMax="46"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22" l="1"/>
  <c r="U28" i="22"/>
  <c r="Q15" i="22"/>
  <c r="P14" i="22"/>
  <c r="Q44" i="22"/>
  <c r="V40" i="22"/>
  <c r="P43" i="22"/>
  <c r="H53" i="20" l="1"/>
  <c r="H17" i="20"/>
  <c r="H25" i="20" l="1"/>
  <c r="X36" i="22"/>
  <c r="K36" i="22"/>
  <c r="L36" i="22"/>
  <c r="M36" i="22"/>
  <c r="O36" i="22"/>
  <c r="R36" i="22"/>
  <c r="S36" i="22"/>
  <c r="T36" i="22"/>
  <c r="H36" i="22"/>
  <c r="K50" i="26"/>
  <c r="K51" i="26"/>
  <c r="K52" i="26"/>
  <c r="K53" i="26"/>
  <c r="K54" i="26"/>
  <c r="K55" i="26"/>
  <c r="K56" i="26"/>
  <c r="K57" i="26"/>
  <c r="K58" i="26"/>
  <c r="K59" i="26"/>
  <c r="K49" i="26"/>
  <c r="K36" i="26"/>
  <c r="K22" i="26"/>
  <c r="K23" i="26"/>
  <c r="K24" i="26"/>
  <c r="K25" i="26"/>
  <c r="K21" i="26"/>
  <c r="K18" i="26"/>
  <c r="K19" i="26"/>
  <c r="K17" i="26"/>
  <c r="K39" i="26"/>
  <c r="K40" i="26"/>
  <c r="K41" i="26"/>
  <c r="K42" i="26"/>
  <c r="K43" i="26"/>
  <c r="K44" i="26"/>
  <c r="K45" i="26"/>
  <c r="K46" i="26"/>
  <c r="K47" i="26"/>
  <c r="K38" i="26"/>
  <c r="K10" i="26"/>
  <c r="K11" i="26"/>
  <c r="K12" i="26"/>
  <c r="K13" i="26"/>
  <c r="K9" i="26"/>
  <c r="I131" i="18" l="1"/>
  <c r="I123" i="18"/>
  <c r="I111" i="18"/>
  <c r="I93" i="18"/>
  <c r="I19" i="18"/>
  <c r="I21" i="18"/>
  <c r="J98" i="26"/>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K60" i="26"/>
  <c r="J60" i="26"/>
  <c r="I14" i="26"/>
  <c r="I61" i="26" s="1"/>
  <c r="I60" i="26"/>
  <c r="H60" i="26"/>
  <c r="H14" i="26"/>
  <c r="H61" i="26" s="1"/>
  <c r="I21" i="21"/>
  <c r="H36" i="21"/>
  <c r="I36" i="21"/>
  <c r="H49" i="21"/>
  <c r="I49" i="21"/>
  <c r="K64" i="26" l="1"/>
  <c r="J63" i="26"/>
  <c r="K62" i="26"/>
  <c r="K68" i="26" s="1"/>
  <c r="K63" i="26"/>
  <c r="J62" i="26"/>
  <c r="J68" i="26" s="1"/>
  <c r="J64" i="26"/>
  <c r="I63" i="26"/>
  <c r="H62" i="26"/>
  <c r="H68" i="26" s="1"/>
  <c r="H63" i="26"/>
  <c r="I64" i="26"/>
  <c r="I62" i="26"/>
  <c r="I67" i="26" s="1"/>
  <c r="H64" i="26"/>
  <c r="I51" i="21"/>
  <c r="I53" i="21" s="1"/>
  <c r="H51" i="21"/>
  <c r="H53" i="21" s="1"/>
  <c r="K66" i="26" l="1"/>
  <c r="K89" i="26" s="1"/>
  <c r="K109" i="26" s="1"/>
  <c r="K67" i="26"/>
  <c r="J66" i="26"/>
  <c r="J89" i="26" s="1"/>
  <c r="J109" i="26" s="1"/>
  <c r="J67" i="26"/>
  <c r="H67" i="26"/>
  <c r="H66" i="26"/>
  <c r="I68" i="26"/>
  <c r="I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R39" i="22"/>
  <c r="R59" i="22" s="1"/>
  <c r="O39" i="22"/>
  <c r="O59" i="22" s="1"/>
  <c r="M39" i="22"/>
  <c r="M59" i="22" s="1"/>
  <c r="L39" i="22"/>
  <c r="L59" i="22" s="1"/>
  <c r="K39" i="22"/>
  <c r="K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57" i="22" s="1"/>
  <c r="U10" i="22"/>
  <c r="U30" i="22" s="1"/>
  <c r="U39" i="22" s="1"/>
  <c r="U59" i="22" s="1"/>
  <c r="R10" i="22"/>
  <c r="R30" i="22" s="1"/>
  <c r="Q10" i="22"/>
  <c r="Q30" i="22" s="1"/>
  <c r="Q39" i="22" s="1"/>
  <c r="Q59" i="22" s="1"/>
  <c r="P10" i="22"/>
  <c r="P30" i="22" s="1"/>
  <c r="P39" i="22" s="1"/>
  <c r="P59" i="22" s="1"/>
  <c r="O10" i="22"/>
  <c r="O30" i="22" s="1"/>
  <c r="N10" i="22"/>
  <c r="N30" i="22" s="1"/>
  <c r="N39" i="22" s="1"/>
  <c r="N59" i="22" s="1"/>
  <c r="M10" i="22"/>
  <c r="M30" i="22" s="1"/>
  <c r="L10" i="22"/>
  <c r="L30" i="22" s="1"/>
  <c r="K30" i="22"/>
  <c r="J10" i="22"/>
  <c r="J30" i="22" s="1"/>
  <c r="J39" i="22" s="1"/>
  <c r="J59"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V57" i="22" l="1"/>
  <c r="V63" i="22" s="1"/>
  <c r="W57" i="22"/>
  <c r="Y57" i="22" s="1"/>
  <c r="V39" i="22"/>
  <c r="V59" i="22" s="1"/>
  <c r="U63" i="22"/>
  <c r="W36" i="22"/>
  <c r="Y36" i="22" s="1"/>
  <c r="Y39" i="22" s="1"/>
  <c r="Y59" i="22" s="1"/>
  <c r="I39" i="22"/>
  <c r="I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<sst xmlns="http://schemas.openxmlformats.org/spreadsheetml/2006/main" count="536" uniqueCount="469">
  <si>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</si>
  <si>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</si>
  <si>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</si>
  <si>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</si>
  <si>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</si>
  <si>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</si>
  <si>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</si>
  <si>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</si>
  <si>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</si>
  <si>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</si>
  <si>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</si>
  <si>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</si>
  <si>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</si>
  <si>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</si>
  <si>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</si>
  <si>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</si>
  <si>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</si>
  <si>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</si>
  <si>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</si>
  <si>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</si>
  <si>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</si>
  <si>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</si>
  <si>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</si>
  <si>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</si>
  <si>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</si>
  <si>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</si>
  <si>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</si>
  <si>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</si>
  <si>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</si>
  <si>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</si>
  <si>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</si>
  <si>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</si>
  <si>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</si>
  <si>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</si>
  <si>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</si>
  <si>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</si>
  <si>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</si>
  <si>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</si>
  <si>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</si>
  <si>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</si>
  <si>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</si>
  <si>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</si>
  <si>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</si>
  <si>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</si>
  <si>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</si>
  <si>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</si>
  <si>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</si>
  <si>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</si>
  <si>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</si>
  <si>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</si>
  <si>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</si>
  <si>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</si>
  <si>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</si>
  <si>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</si>
  <si>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</si>
  <si>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</si>
  <si>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</si>
  <si>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</si>
  <si>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</si>
  <si>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</si>
  <si>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</si>
  <si>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</si>
  <si>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</si>
  <si>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</si>
  <si>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</si>
  <si>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</si>
  <si>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</si>
  <si>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</si>
  <si>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</si>
  <si>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</si>
  <si>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</si>
  <si>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</si>
  <si>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</si>
  <si>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</si>
  <si>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</si>
  <si>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</si>
  <si>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</si>
  <si>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</si>
  <si>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</si>
  <si>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</si>
  <si>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</si>
  <si>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</si>
  <si>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</si>
  <si>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</si>
  <si>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</si>
  <si>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</si>
  <si>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</si>
  <si>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</si>
  <si>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</si>
  <si>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</si>
  <si>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</si>
  <si>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</si>
  <si>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</si>
  <si>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</si>
  <si>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</si>
  <si>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</si>
  <si>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</si>
  <si>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</si>
  <si>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</si>
  <si>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</si>
  <si>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</si>
  <si>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</si>
  <si>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</si>
  <si>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</si>
  <si>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</si>
  <si>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</si>
  <si>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</si>
  <si>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</si>
  <si>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</si>
  <si>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</si>
  <si>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</si>
  <si>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</si>
  <si>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</si>
  <si>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</si>
  <si>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</si>
  <si>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</si>
  <si>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</si>
  <si>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</si>
  <si>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</si>
  <si>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</si>
  <si>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</si>
  <si>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</si>
  <si>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</si>
  <si>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</si>
  <si>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</si>
  <si>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</si>
  <si>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</si>
  <si>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</si>
  <si>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</si>
  <si>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</si>
  <si>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</si>
  <si>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</si>
  <si>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</si>
  <si>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</si>
  <si>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</si>
  <si>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</si>
  <si>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</si>
  <si>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</si>
  <si>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</si>
  <si>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</si>
  <si>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</si>
  <si>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</si>
  <si>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</si>
  <si>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</si>
  <si>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</si>
  <si>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</si>
  <si>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</si>
  <si>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</si>
  <si>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</si>
  <si>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</si>
  <si>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</si>
  <si>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</si>
  <si>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</si>
  <si>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</si>
  <si>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</si>
  <si>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</si>
  <si>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</si>
  <si>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</si>
  <si>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</si>
  <si>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</si>
  <si>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</si>
  <si>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</si>
  <si>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</si>
  <si>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</si>
  <si>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</si>
  <si>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</si>
  <si>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</si>
  <si>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</si>
  <si>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</si>
  <si>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</si>
  <si>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</si>
  <si>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</si>
  <si>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</si>
  <si>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</si>
  <si>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</si>
  <si>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</si>
  <si>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</si>
  <si>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</si>
  <si>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</si>
  <si>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</si>
  <si>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</si>
  <si>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</si>
  <si>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</si>
  <si>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</si>
  <si>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</si>
  <si>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</si>
  <si>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</si>
  <si>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</si>
  <si>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</si>
  <si>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</si>
  <si>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</si>
  <si>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</si>
  <si>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</si>
  <si>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</si>
  <si>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</si>
  <si>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</si>
  <si>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</si>
  <si>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</si>
  <si>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</si>
  <si>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</si>
  <si>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</si>
  <si>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</si>
  <si>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</si>
  <si>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</si>
  <si>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</si>
  <si>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</si>
  <si>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</si>
  <si>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</si>
  <si>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</si>
  <si>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</si>
  <si>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</si>
  <si>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</si>
  <si>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</si>
  <si>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</si>
  <si>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</si>
  <si>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</si>
  <si>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</si>
  <si>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</si>
  <si>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</si>
  <si>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</si>
  <si>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</si>
  <si>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</si>
  <si>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</si>
  <si>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</si>
  <si>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</si>
  <si>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</si>
  <si>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</si>
  <si>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</si>
  <si>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</si>
  <si>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</si>
  <si>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</si>
  <si>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</si>
  <si>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</si>
  <si>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</si>
  <si>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</si>
  <si>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</si>
  <si>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</si>
  <si>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</si>
  <si>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</si>
  <si>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</si>
  <si>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</si>
  <si>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</si>
  <si>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</si>
  <si>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</si>
  <si>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</si>
  <si>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</si>
  <si>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</si>
  <si>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</si>
  <si>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</si>
  <si>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</si>
  <si>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</si>
  <si>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</si>
  <si>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</si>
  <si>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</si>
  <si>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</si>
  <si>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</si>
  <si>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</si>
  <si>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</si>
  <si>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</si>
  <si>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</si>
  <si>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</si>
  <si>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</si>
  <si>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</si>
  <si>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</si>
  <si>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</si>
  <si>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</si>
  <si>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</si>
  <si>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</si>
  <si>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</si>
  <si>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</si>
  <si>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</si>
  <si>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</si>
  <si>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</si>
  <si>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</si>
  <si>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</si>
  <si>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</si>
  <si>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</si>
  <si>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</si>
  <si>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</si>
  <si>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</si>
  <si>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</si>
  <si>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</si>
  <si>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</si>
  <si>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</si>
  <si>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</si>
  <si>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</si>
  <si>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</si>
  <si>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</si>
  <si>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</si>
  <si>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</si>
  <si>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</si>
  <si>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</si>
  <si>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</si>
  <si>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</si>
  <si>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</si>
  <si>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</si>
  <si>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</si>
  <si>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</si>
  <si>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</si>
  <si>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</si>
  <si>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</si>
  <si>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</si>
  <si>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</si>
  <si>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</si>
  <si>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</si>
  <si>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</si>
  <si>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</si>
  <si>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</si>
  <si>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</si>
  <si>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</si>
  <si>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</si>
  <si>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</si>
  <si>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</si>
  <si>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</si>
  <si>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</si>
  <si>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</si>
  <si>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</si>
  <si>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</si>
  <si>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</si>
  <si>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</si>
  <si>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</si>
  <si>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</si>
  <si>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</si>
  <si>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</si>
  <si>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</si>
  <si>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</si>
  <si>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</si>
  <si>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</si>
  <si>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</si>
  <si>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</si>
  <si>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</si>
  <si>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</si>
  <si>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</si>
  <si>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</si>
  <si>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</si>
  <si>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</si>
  <si>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</si>
  <si>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</si>
  <si>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</si>
  <si>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</si>
  <si>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</si>
  <si>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</si>
  <si>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</si>
  <si>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</si>
  <si>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</si>
  <si>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</si>
  <si>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</si>
  <si>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</si>
  <si>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</si>
  <si>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</si>
  <si>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</si>
  <si>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</si>
  <si>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</si>
  <si>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</si>
  <si>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</si>
  <si>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</si>
  <si>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</si>
  <si>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</si>
  <si>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</si>
  <si>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</si>
  <si>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</si>
  <si>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</si>
  <si>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</si>
  <si>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</si>
  <si>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</si>
  <si>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</si>
  <si>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</si>
  <si>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</si>
  <si>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</si>
  <si>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</si>
  <si>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</si>
  <si>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</si>
  <si>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</si>
  <si>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</si>
  <si>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</si>
  <si>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</si>
  <si>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</si>
  <si>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</si>
  <si>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</si>
  <si>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</si>
  <si>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</si>
  <si>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</si>
  <si>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</si>
  <si>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</si>
  <si>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</si>
  <si>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</si>
  <si>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</si>
  <si>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</si>
  <si>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</si>
  <si>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</si>
  <si>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</si>
  <si>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</si>
  <si>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</si>
  <si>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</si>
  <si>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</si>
  <si>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</si>
  <si>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</si>
  <si>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</si>
  <si>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</si>
  <si>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</si>
  <si>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</si>
  <si>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</si>
  <si>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</si>
  <si>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</si>
  <si>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</si>
  <si>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</si>
  <si>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</si>
  <si>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</si>
  <si>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</si>
  <si>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</si>
  <si>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</si>
  <si>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</si>
  <si>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</si>
  <si>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</si>
  <si>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</si>
  <si>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</si>
  <si>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</si>
  <si>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</si>
  <si>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</si>
  <si>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</si>
  <si>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</si>
  <si>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</si>
  <si>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</si>
  <si>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</si>
  <si>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</si>
  <si>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</si>
  <si>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</si>
  <si>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</si>
  <si>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</si>
  <si>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</si>
  <si>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</si>
  <si>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</si>
  <si>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</si>
  <si>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</si>
  <si>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</si>
  <si>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</si>
  <si>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</si>
  <si>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</si>
  <si>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</si>
  <si>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</si>
  <si>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</si>
  <si>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</si>
  <si>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</si>
  <si>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</si>
  <si>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</si>
  <si>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</si>
  <si>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</si>
  <si>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1.1.2021.</t>
  </si>
  <si>
    <t>31.3.2021.</t>
  </si>
  <si>
    <t>03298744</t>
  </si>
  <si>
    <t>HR</t>
  </si>
  <si>
    <t>080037012</t>
  </si>
  <si>
    <t>24640993045</t>
  </si>
  <si>
    <t>74780000B0QHXQ0LQW20</t>
  </si>
  <si>
    <t>637</t>
  </si>
  <si>
    <t>CROATIA AIRLINES d.d.</t>
  </si>
  <si>
    <t>ZAGREB</t>
  </si>
  <si>
    <t>BANI 75 b</t>
  </si>
  <si>
    <t>uprava@croatiaairlines.hr</t>
  </si>
  <si>
    <t>www.croatiaairlines.hr</t>
  </si>
  <si>
    <t>NE</t>
  </si>
  <si>
    <t>VESNA MIKULEC</t>
  </si>
  <si>
    <t>01/6160049</t>
  </si>
  <si>
    <t>vesna.mikulec@croatiaairlines.hr</t>
  </si>
  <si>
    <t xml:space="preserve">stanje na dan 31.03.2021. </t>
  </si>
  <si>
    <t>Obveznik: CROATIA AIRLINES d.d.</t>
  </si>
  <si>
    <t>u razdoblju 01.01.2021 do 31.03.2021.</t>
  </si>
  <si>
    <t>u razdoblju 01.01.2021. do 31.03.2021.</t>
  </si>
  <si>
    <t>BILJEŠKE UZ FINANCIJSKE IZVJEŠTAJE - TFI
(koji se sastavljaju za tromjesečna razdoblja)
Naziv izdavatelja:  CROATIA AIRLINES D.D.
OIB:   24640993045
Izvještajno razdoblje: 1.1.-31.3.2021. godine
Bilješke uz financijske izvještaje za tromjesečna razdoblja uključuju:
U vrijeme najveće krize izazvane pandemijom virusa COVID-19 u 2020. godini, Croatia Airlines nije prestao s letenjem već je nastavio povezivati Hrvatsku sa svijetom, a svoju misiju je nastavio i u 2021. godini postepenim vraćanjem linija u prometovanje i povećavanjem broja frekvencija u skladu s potražnjom i epidemiološkim mjerama pojedinih zemalja. 
Letenje se u prvom kvartalu 2021. godine obavljalo na 12 međunarodnih i pet domaćih destinacija.  S obzirom na situaciju fokus kompanije je na tržištima na kojima postoji potražnja. Uz kontinuirano optimiziranje reda letenja kompanija je spremna uspostaviti ili obnoviti pojedine linije i uvesti dodatne letove na postojećim linijama ukoliko u međuvremenu dođe do porasta potražnje za uslugama zračnog prijevoza.
Početak 2021. godine za Croatia Airlines slabiji je od očekivanja, potražnja za uslugama zračnog prijevoza i dalje se zadržava na niskim razinama, a primijenjene mjere na razini država diktiraju postavljanje kapaciteta te strukturu reda letenja. U prvom kvartalu 2021. godine Croatia Airlines ostvario je nalet od 2.697 blok sati, a zabilježeno je 1.951 let. Ukupan broj prevezenih putnika iznosio je 72.263 što je 73 posto manje u odnosu na prvi kvartal 2020. godine. Ostvareni putnički kilometri smanjeni su za 74 posto, uz putnički faktor popunjenosti (PLF) od 44,8 posto što je 15,3 postotna boda manje u odnosu na prvi kvartal 2020. godine. Broj putnika u domaćem redovitom prometu manji je za 61 posto, a u međunarodnom redovitom prometu za 78 posto u odnosu na prvi kvartal 2020. godine. 
Rezervacije putovanja u prvom kvartalu 2021.  u padu su u odnosu na isto razdoblje prethodne godine. Zabilježen je pad prodaje karata od 89 posto u svim distribucijskim kanalima u odnosu na isto razdoblje prethodne godine. 
Pad prodaje prati i pad prihoda, ostvareno je smanjenje putničkih prihoda za 62 posto, uz 73 posto manji broj prevezenih putnika.  Smanjenje je ostvareno i u prijevozu tereta s obzirom da je tijekom prvog kvartala 2021. prevezeno 207 tona tereta manje u odnosu na isto razdoblje godinu ranije, dok je smanjenje ostalih prihoda  prvenstveno vezano uz nižu razinu ostvarenih prihoda po osnovi povrata uplaćenih maintenence rezervi za radove na floti.
Ostvareni operativni troškovi niži su 42 posto od ostvarenja prvog kvartala 2020. godine, što nominalno iznosi 135 milijuna kn. Najveći dio smanjenja troškova posljedica je smanjenog naleta (broj letova manji je za 57 posto, dok su blok sati manji za 56 posto) zbog čega su i najveća smanjenja ostvarena upravo u grupama troškova izravno ovisnih o naletu i broju putnika. Međutim, na smanjenje operativnih troškova značajno su utjecale i provedene mjere na razini kompanije: smanjenje bruto primanja za 15 posto, provedba operativnih mjera optimizacije reda letenja uz sve ostale provedene mjere štednje.
U nastalim tržišnim okolnostima na kraju promatranog razdoblja ostvaren je operativni gubitak u visini od 86,2 milijuna kn koji s neto rezultatom financiranja daje neto gubitak od 96,9 milijuna kn.
Budući da se kompanija i dalje suočava sa smanjenom potražnjom i prodajom karata te posljedično niskom razinom priljeva, u narednom razdoblju može se ponovno potaknuti pitanje očuvanja likvidnosti posebice kada se uzme u obzir nepredvidivost vremenskog trajanja krize.
Početkom 2021. godine u suradnji s vanjskim savjetnicima BDO Savjetovanje d.o.o, napravljen je dokument „Analiza namjenskog korištenja državnih potpora i verifikacija ušteda ostvarenih od početka pandemije Covid-19“ koji je obuhvatio sve aspekte primijenjenih rigoroznih mjera štednje. Dokument uključuje i plan aktivnosti na uštedama u 2021. godini.
Nastavljena je racionalizacija poslovanja te primjena već ranije definiranih mjera kojima se nastoji umanjiti utjecaj krize na financijski rezultat uz daljnje korištenje potpora na koje kompanija ostvaruje pravo s obzirom na razinu smanjenja prometa. Kompanija poduzima sve mjere aktivnog praćenja  likvidnosti i optimizacije poslovanja.  Zbog svakodnevnih promjena epidemiološke situacije redovno se evaluira predviđeni red letenja te prilagođava trenutnoj situaciji i stanju bookinga. U cilju racionalizacije provodi se i optimizacija korištenja flote pri čemu je veći naglasak na manjim i ekonomičnijim zrakoplovima. 
Iako su očekivanja kompanije vezana uz normalizaciju i ponovno uspostavljanje prometa bila znatno veća, s obzirom na prelijevanje učinaka krize na prvi kvartal 2021. godine, daljnje prometovanje ovisit će o više faktora kao što su upute, ograničenja i zabrane te druge mjere koje direktno utječu na mogućnost putovanja u domaćem i međunarodnom redovitom prometu, procijepljenost stanovništva te primjena mjera koje bi trebale olakšati ili pojednostavniti putovanja (covid putovnice), fleksibilno planiranje mreže letova uz prognozu potražnje za pojedinim vrstama putovanja kao i ostvarenje optimalne popunjenosti i prosječne tarife u uvjetima prometovanja sa smanjenim kapacitetom zrakoplova uzrokovanog mjerama socijalnog distanciranja.
Ostale bilješke sastavni su dio Izvješća poslovodstva o stanju Društva za I.-III. 2021.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</si>
</sst>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31" workbookViewId="0">
      <selection activeCell="P42" sqref="P4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t="s">
        <v>447</v>
      </c>
      <c r="F4" s="139"/>
      <c r="G4" s="53" t="s">
        <v>0</v>
      </c>
      <c r="H4" s="138" t="s">
        <v>448</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449</v>
      </c>
      <c r="D11" s="146"/>
      <c r="E11" s="67"/>
      <c r="F11" s="154" t="s">
        <v>332</v>
      </c>
      <c r="G11" s="144"/>
      <c r="H11" s="155" t="s">
        <v>450</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451</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452</v>
      </c>
      <c r="D15" s="146"/>
      <c r="E15" s="163"/>
      <c r="F15" s="164"/>
      <c r="G15" s="73" t="s">
        <v>333</v>
      </c>
      <c r="H15" s="155" t="s">
        <v>453</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454</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455</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10010</v>
      </c>
      <c r="D21" s="156"/>
      <c r="E21" s="149"/>
      <c r="F21" s="149"/>
      <c r="G21" s="160" t="s">
        <v>456</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457</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458</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459</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949</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336</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460</v>
      </c>
      <c r="D50" s="156"/>
      <c r="E50" s="181" t="s">
        <v>343</v>
      </c>
      <c r="F50" s="182"/>
      <c r="G50" s="160"/>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461</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462</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463</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64" zoomScaleNormal="100" zoomScaleSheetLayoutView="110" workbookViewId="0">
      <selection activeCell="X81" sqref="X8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464</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465</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796360581</v>
      </c>
      <c r="I9" s="23">
        <f>I10+I17+I27+I38+I43</f>
        <v>750801721</v>
      </c>
    </row>
    <row r="10" spans="1:9" ht="12.75" customHeight="1" x14ac:dyDescent="0.2">
      <c r="A10" s="190" t="s">
        <v>5</v>
      </c>
      <c r="B10" s="190"/>
      <c r="C10" s="190"/>
      <c r="D10" s="190"/>
      <c r="E10" s="190"/>
      <c r="F10" s="190"/>
      <c r="G10" s="15">
        <v>3</v>
      </c>
      <c r="H10" s="23">
        <f>H11+H12+H13+H14+H15+H16</f>
        <v>105597763</v>
      </c>
      <c r="I10" s="23">
        <f>I11+I12+I13+I14+I15+I16</f>
        <v>86541660</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105537763</v>
      </c>
      <c r="I12" s="22">
        <v>86326908</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60000</v>
      </c>
      <c r="I15" s="22">
        <v>214752</v>
      </c>
    </row>
    <row r="16" spans="1:9" ht="12.75" customHeight="1" x14ac:dyDescent="0.2">
      <c r="A16" s="189" t="s">
        <v>11</v>
      </c>
      <c r="B16" s="189"/>
      <c r="C16" s="189"/>
      <c r="D16" s="189"/>
      <c r="E16" s="189"/>
      <c r="F16" s="189"/>
      <c r="G16" s="14">
        <v>9</v>
      </c>
      <c r="H16" s="22">
        <v>0</v>
      </c>
      <c r="I16" s="22">
        <v>0</v>
      </c>
    </row>
    <row r="17" spans="1:9" ht="12.75" customHeight="1" x14ac:dyDescent="0.2">
      <c r="A17" s="190" t="s">
        <v>12</v>
      </c>
      <c r="B17" s="190"/>
      <c r="C17" s="190"/>
      <c r="D17" s="190"/>
      <c r="E17" s="190"/>
      <c r="F17" s="190"/>
      <c r="G17" s="15">
        <v>10</v>
      </c>
      <c r="H17" s="23">
        <f>H18+H19+H20+H21+H22+H23+H24+H25+H26</f>
        <v>659342320</v>
      </c>
      <c r="I17" s="23">
        <f>I18+I19+I20+I21+I22+I23+I24+I25+I26</f>
        <v>630424327</v>
      </c>
    </row>
    <row r="18" spans="1:9" ht="12.75" customHeight="1" x14ac:dyDescent="0.2">
      <c r="A18" s="189" t="s">
        <v>13</v>
      </c>
      <c r="B18" s="189"/>
      <c r="C18" s="189"/>
      <c r="D18" s="189"/>
      <c r="E18" s="189"/>
      <c r="F18" s="189"/>
      <c r="G18" s="14">
        <v>11</v>
      </c>
      <c r="H18" s="22">
        <v>19752892</v>
      </c>
      <c r="I18" s="22">
        <v>19752892</v>
      </c>
    </row>
    <row r="19" spans="1:9" ht="12.75" customHeight="1" x14ac:dyDescent="0.2">
      <c r="A19" s="189" t="s">
        <v>14</v>
      </c>
      <c r="B19" s="189"/>
      <c r="C19" s="189"/>
      <c r="D19" s="189"/>
      <c r="E19" s="189"/>
      <c r="F19" s="189"/>
      <c r="G19" s="14">
        <v>12</v>
      </c>
      <c r="H19" s="22">
        <v>34696974</v>
      </c>
      <c r="I19" s="22">
        <f>19376358+13084590</f>
        <v>32460948</v>
      </c>
    </row>
    <row r="20" spans="1:9" ht="12.75" customHeight="1" x14ac:dyDescent="0.2">
      <c r="A20" s="189" t="s">
        <v>15</v>
      </c>
      <c r="B20" s="189"/>
      <c r="C20" s="189"/>
      <c r="D20" s="189"/>
      <c r="E20" s="189"/>
      <c r="F20" s="189"/>
      <c r="G20" s="14">
        <v>13</v>
      </c>
      <c r="H20" s="22">
        <v>57518833</v>
      </c>
      <c r="I20" s="22">
        <v>56140784</v>
      </c>
    </row>
    <row r="21" spans="1:9" ht="12.75" customHeight="1" x14ac:dyDescent="0.2">
      <c r="A21" s="189" t="s">
        <v>16</v>
      </c>
      <c r="B21" s="189"/>
      <c r="C21" s="189"/>
      <c r="D21" s="189"/>
      <c r="E21" s="189"/>
      <c r="F21" s="189"/>
      <c r="G21" s="14">
        <v>14</v>
      </c>
      <c r="H21" s="22">
        <v>539992967</v>
      </c>
      <c r="I21" s="22">
        <f>176376456+334630032+53997</f>
        <v>511060485</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6068364</v>
      </c>
      <c r="I24" s="22">
        <v>9829267</v>
      </c>
    </row>
    <row r="25" spans="1:9" ht="12.75" customHeight="1" x14ac:dyDescent="0.2">
      <c r="A25" s="189" t="s">
        <v>20</v>
      </c>
      <c r="B25" s="189"/>
      <c r="C25" s="189"/>
      <c r="D25" s="189"/>
      <c r="E25" s="189"/>
      <c r="F25" s="189"/>
      <c r="G25" s="14">
        <v>18</v>
      </c>
      <c r="H25" s="22">
        <v>1312290</v>
      </c>
      <c r="I25" s="22">
        <v>1179951</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31331654</v>
      </c>
      <c r="I27" s="23">
        <f>SUM(I28:I37)</f>
        <v>33753332</v>
      </c>
    </row>
    <row r="28" spans="1:9" ht="12.75" customHeight="1" x14ac:dyDescent="0.2">
      <c r="A28" s="189" t="s">
        <v>23</v>
      </c>
      <c r="B28" s="189"/>
      <c r="C28" s="189"/>
      <c r="D28" s="189"/>
      <c r="E28" s="189"/>
      <c r="F28" s="189"/>
      <c r="G28" s="14">
        <v>21</v>
      </c>
      <c r="H28" s="22">
        <v>1210400</v>
      </c>
      <c r="I28" s="22">
        <v>1210400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733333</v>
      </c>
      <c r="I30" s="22">
        <v>920833</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916561</v>
      </c>
      <c r="I34" s="22">
        <v>916561</v>
      </c>
    </row>
    <row r="35" spans="1:9" ht="12.75" customHeight="1" x14ac:dyDescent="0.2">
      <c r="A35" s="189" t="s">
        <v>30</v>
      </c>
      <c r="B35" s="189"/>
      <c r="C35" s="189"/>
      <c r="D35" s="189"/>
      <c r="E35" s="189"/>
      <c r="F35" s="189"/>
      <c r="G35" s="14">
        <v>28</v>
      </c>
      <c r="H35" s="22">
        <v>28471360</v>
      </c>
      <c r="I35" s="22">
        <v>30705538</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88844</v>
      </c>
      <c r="I38" s="23">
        <f>I39+I40+I41+I42</f>
        <v>82402</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88844</v>
      </c>
      <c r="I42" s="22">
        <v>82402</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726581551</v>
      </c>
      <c r="I44" s="23">
        <f>I45+I53+I60+I70</f>
        <v>610694749</v>
      </c>
    </row>
    <row r="45" spans="1:9" ht="12.75" customHeight="1" x14ac:dyDescent="0.2">
      <c r="A45" s="190" t="s">
        <v>39</v>
      </c>
      <c r="B45" s="190"/>
      <c r="C45" s="190"/>
      <c r="D45" s="190"/>
      <c r="E45" s="190"/>
      <c r="F45" s="190"/>
      <c r="G45" s="15">
        <v>38</v>
      </c>
      <c r="H45" s="23">
        <f>SUM(H46:H52)</f>
        <v>61797098</v>
      </c>
      <c r="I45" s="23">
        <f>SUM(I46:I52)</f>
        <v>62034552</v>
      </c>
    </row>
    <row r="46" spans="1:9" ht="12.75" customHeight="1" x14ac:dyDescent="0.2">
      <c r="A46" s="189" t="s">
        <v>40</v>
      </c>
      <c r="B46" s="189"/>
      <c r="C46" s="189"/>
      <c r="D46" s="189"/>
      <c r="E46" s="189"/>
      <c r="F46" s="189"/>
      <c r="G46" s="14">
        <v>39</v>
      </c>
      <c r="H46" s="22">
        <v>61797098</v>
      </c>
      <c r="I46" s="22">
        <v>62034552</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42446717</v>
      </c>
      <c r="I53" s="23">
        <f>SUM(I54:I59)</f>
        <v>24334668</v>
      </c>
    </row>
    <row r="54" spans="1:9" ht="12.75" customHeight="1" x14ac:dyDescent="0.2">
      <c r="A54" s="189" t="s">
        <v>48</v>
      </c>
      <c r="B54" s="189"/>
      <c r="C54" s="189"/>
      <c r="D54" s="189"/>
      <c r="E54" s="189"/>
      <c r="F54" s="189"/>
      <c r="G54" s="14">
        <v>47</v>
      </c>
      <c r="H54" s="22">
        <v>36287</v>
      </c>
      <c r="I54" s="22">
        <v>54012</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19497620</v>
      </c>
      <c r="I56" s="22">
        <v>13791447</v>
      </c>
    </row>
    <row r="57" spans="1:9" ht="12.75" customHeight="1" x14ac:dyDescent="0.2">
      <c r="A57" s="189" t="s">
        <v>51</v>
      </c>
      <c r="B57" s="189"/>
      <c r="C57" s="189"/>
      <c r="D57" s="189"/>
      <c r="E57" s="189"/>
      <c r="F57" s="189"/>
      <c r="G57" s="14">
        <v>50</v>
      </c>
      <c r="H57" s="22">
        <v>40726</v>
      </c>
      <c r="I57" s="22">
        <v>60122</v>
      </c>
    </row>
    <row r="58" spans="1:9" ht="12.75" customHeight="1" x14ac:dyDescent="0.2">
      <c r="A58" s="189" t="s">
        <v>52</v>
      </c>
      <c r="B58" s="189"/>
      <c r="C58" s="189"/>
      <c r="D58" s="189"/>
      <c r="E58" s="189"/>
      <c r="F58" s="189"/>
      <c r="G58" s="14">
        <v>51</v>
      </c>
      <c r="H58" s="22">
        <v>20011654</v>
      </c>
      <c r="I58" s="22">
        <v>7668877</v>
      </c>
    </row>
    <row r="59" spans="1:9" ht="12.75" customHeight="1" x14ac:dyDescent="0.2">
      <c r="A59" s="189" t="s">
        <v>53</v>
      </c>
      <c r="B59" s="189"/>
      <c r="C59" s="189"/>
      <c r="D59" s="189"/>
      <c r="E59" s="189"/>
      <c r="F59" s="189"/>
      <c r="G59" s="14">
        <v>52</v>
      </c>
      <c r="H59" s="22">
        <v>2860430</v>
      </c>
      <c r="I59" s="22">
        <v>2760210</v>
      </c>
    </row>
    <row r="60" spans="1:9" ht="12.75" customHeight="1" x14ac:dyDescent="0.2">
      <c r="A60" s="190" t="s">
        <v>54</v>
      </c>
      <c r="B60" s="190"/>
      <c r="C60" s="190"/>
      <c r="D60" s="190"/>
      <c r="E60" s="190"/>
      <c r="F60" s="190"/>
      <c r="G60" s="15">
        <v>53</v>
      </c>
      <c r="H60" s="23">
        <f>SUM(H61:H69)</f>
        <v>48013952</v>
      </c>
      <c r="I60" s="23">
        <f>SUM(I61:I69)</f>
        <v>41059519</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577479</v>
      </c>
      <c r="I63" s="22">
        <v>801437</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186</v>
      </c>
      <c r="I67" s="22">
        <v>186</v>
      </c>
    </row>
    <row r="68" spans="1:9" ht="12.75" customHeight="1" x14ac:dyDescent="0.2">
      <c r="A68" s="189" t="s">
        <v>30</v>
      </c>
      <c r="B68" s="189"/>
      <c r="C68" s="189"/>
      <c r="D68" s="189"/>
      <c r="E68" s="189"/>
      <c r="F68" s="189"/>
      <c r="G68" s="14">
        <v>61</v>
      </c>
      <c r="H68" s="22">
        <v>47436287</v>
      </c>
      <c r="I68" s="22">
        <v>40257896</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574323784</v>
      </c>
      <c r="I70" s="22">
        <v>483266010</v>
      </c>
    </row>
    <row r="71" spans="1:9" ht="12.75" customHeight="1" x14ac:dyDescent="0.2">
      <c r="A71" s="206" t="s">
        <v>58</v>
      </c>
      <c r="B71" s="206"/>
      <c r="C71" s="206"/>
      <c r="D71" s="206"/>
      <c r="E71" s="206"/>
      <c r="F71" s="206"/>
      <c r="G71" s="14">
        <v>64</v>
      </c>
      <c r="H71" s="22">
        <v>9613864</v>
      </c>
      <c r="I71" s="22">
        <v>11823739</v>
      </c>
    </row>
    <row r="72" spans="1:9" ht="12.75" customHeight="1" x14ac:dyDescent="0.2">
      <c r="A72" s="191" t="s">
        <v>305</v>
      </c>
      <c r="B72" s="191"/>
      <c r="C72" s="191"/>
      <c r="D72" s="191"/>
      <c r="E72" s="191"/>
      <c r="F72" s="191"/>
      <c r="G72" s="15">
        <v>65</v>
      </c>
      <c r="H72" s="23">
        <f>H8+H9+H44+H71</f>
        <v>1532555996</v>
      </c>
      <c r="I72" s="23">
        <f>I8+I9+I44+I71</f>
        <v>1373320209</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215929850</v>
      </c>
      <c r="I75" s="102">
        <f>I76+I77+I78+I84+I85+I91+I94+I97</f>
        <v>118908462</v>
      </c>
    </row>
    <row r="76" spans="1:9" ht="12.75" customHeight="1" x14ac:dyDescent="0.2">
      <c r="A76" s="189" t="s">
        <v>61</v>
      </c>
      <c r="B76" s="189"/>
      <c r="C76" s="189"/>
      <c r="D76" s="189"/>
      <c r="E76" s="189"/>
      <c r="F76" s="189"/>
      <c r="G76" s="14">
        <v>68</v>
      </c>
      <c r="H76" s="22">
        <v>277879530</v>
      </c>
      <c r="I76" s="22">
        <v>627879530</v>
      </c>
    </row>
    <row r="77" spans="1:9" ht="12.75" customHeight="1" x14ac:dyDescent="0.2">
      <c r="A77" s="189" t="s">
        <v>62</v>
      </c>
      <c r="B77" s="189"/>
      <c r="C77" s="189"/>
      <c r="D77" s="189"/>
      <c r="E77" s="189"/>
      <c r="F77" s="189"/>
      <c r="G77" s="14">
        <v>69</v>
      </c>
      <c r="H77" s="22">
        <v>350000000</v>
      </c>
      <c r="I77" s="22">
        <v>0</v>
      </c>
    </row>
    <row r="78" spans="1:9" ht="12.75" customHeight="1" x14ac:dyDescent="0.2">
      <c r="A78" s="190" t="s">
        <v>63</v>
      </c>
      <c r="B78" s="190"/>
      <c r="C78" s="190"/>
      <c r="D78" s="190"/>
      <c r="E78" s="190"/>
      <c r="F78" s="190"/>
      <c r="G78" s="15">
        <v>70</v>
      </c>
      <c r="H78" s="102">
        <f>SUM(H79:H83)</f>
        <v>0</v>
      </c>
      <c r="I78" s="102">
        <f>SUM(I79:I83)</f>
        <v>0</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96">
        <v>0</v>
      </c>
      <c r="I84" s="96">
        <v>0</v>
      </c>
    </row>
    <row r="85" spans="1:9" ht="12.75" customHeight="1" x14ac:dyDescent="0.2">
      <c r="A85" s="190" t="s">
        <v>445</v>
      </c>
      <c r="B85" s="190"/>
      <c r="C85" s="190"/>
      <c r="D85" s="190"/>
      <c r="E85" s="190"/>
      <c r="F85" s="190"/>
      <c r="G85" s="15">
        <v>77</v>
      </c>
      <c r="H85" s="23">
        <f>H86+H87+H88+H89+H90</f>
        <v>-1985953</v>
      </c>
      <c r="I85" s="23">
        <f>I86+I87+I88+I89+I90</f>
        <v>-2137853</v>
      </c>
    </row>
    <row r="86" spans="1:9" ht="25.5" customHeight="1" x14ac:dyDescent="0.2">
      <c r="A86" s="189" t="s">
        <v>446</v>
      </c>
      <c r="B86" s="189"/>
      <c r="C86" s="189"/>
      <c r="D86" s="189"/>
      <c r="E86" s="189"/>
      <c r="F86" s="189"/>
      <c r="G86" s="14">
        <v>78</v>
      </c>
      <c r="H86" s="22">
        <v>-975240</v>
      </c>
      <c r="I86" s="22">
        <v>-975240</v>
      </c>
    </row>
    <row r="87" spans="1:9" ht="12.75" customHeight="1" x14ac:dyDescent="0.2">
      <c r="A87" s="189" t="s">
        <v>70</v>
      </c>
      <c r="B87" s="189"/>
      <c r="C87" s="189"/>
      <c r="D87" s="189"/>
      <c r="E87" s="189"/>
      <c r="F87" s="189"/>
      <c r="G87" s="14">
        <v>79</v>
      </c>
      <c r="H87" s="22">
        <v>-1010713</v>
      </c>
      <c r="I87" s="22">
        <v>-1162613</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-51738306</v>
      </c>
      <c r="I91" s="23">
        <f>I92-I93</f>
        <v>-409963727</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51738306</v>
      </c>
      <c r="I93" s="22">
        <f>51738306+358225421</f>
        <v>409963727</v>
      </c>
    </row>
    <row r="94" spans="1:9" ht="12.75" customHeight="1" x14ac:dyDescent="0.2">
      <c r="A94" s="190" t="s">
        <v>352</v>
      </c>
      <c r="B94" s="190"/>
      <c r="C94" s="190"/>
      <c r="D94" s="190"/>
      <c r="E94" s="190"/>
      <c r="F94" s="190"/>
      <c r="G94" s="15">
        <v>86</v>
      </c>
      <c r="H94" s="23">
        <f>H95-H96</f>
        <v>-358225421</v>
      </c>
      <c r="I94" s="23">
        <f>I95-I96</f>
        <v>-96869488</v>
      </c>
    </row>
    <row r="95" spans="1:9" ht="12.75" customHeight="1" x14ac:dyDescent="0.2">
      <c r="A95" s="189" t="s">
        <v>74</v>
      </c>
      <c r="B95" s="189"/>
      <c r="C95" s="189"/>
      <c r="D95" s="189"/>
      <c r="E95" s="189"/>
      <c r="F95" s="189"/>
      <c r="G95" s="14">
        <v>87</v>
      </c>
      <c r="H95" s="22">
        <v>0</v>
      </c>
      <c r="I95" s="22">
        <v>0</v>
      </c>
    </row>
    <row r="96" spans="1:9" ht="12.75" customHeight="1" x14ac:dyDescent="0.2">
      <c r="A96" s="189" t="s">
        <v>75</v>
      </c>
      <c r="B96" s="189"/>
      <c r="C96" s="189"/>
      <c r="D96" s="189"/>
      <c r="E96" s="189"/>
      <c r="F96" s="189"/>
      <c r="G96" s="14">
        <v>88</v>
      </c>
      <c r="H96" s="22">
        <v>358225421</v>
      </c>
      <c r="I96" s="22">
        <v>96869488</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13048138</v>
      </c>
      <c r="I98" s="23">
        <f>SUM(I99:I104)</f>
        <v>12374443</v>
      </c>
    </row>
    <row r="99" spans="1:9" ht="12.75" customHeight="1" x14ac:dyDescent="0.2">
      <c r="A99" s="189" t="s">
        <v>77</v>
      </c>
      <c r="B99" s="189"/>
      <c r="C99" s="189"/>
      <c r="D99" s="189"/>
      <c r="E99" s="189"/>
      <c r="F99" s="189"/>
      <c r="G99" s="14">
        <v>91</v>
      </c>
      <c r="H99" s="22">
        <v>9933641</v>
      </c>
      <c r="I99" s="22">
        <v>9358710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3114497</v>
      </c>
      <c r="I101" s="22">
        <v>3015733</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875854244</v>
      </c>
      <c r="I105" s="23">
        <f>SUM(I106:I116)</f>
        <v>601810763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505419470</v>
      </c>
      <c r="I107" s="22">
        <v>250000000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808339</v>
      </c>
      <c r="I110" s="22">
        <v>54650</v>
      </c>
    </row>
    <row r="111" spans="1:9" ht="12.75" customHeight="1" x14ac:dyDescent="0.2">
      <c r="A111" s="189" t="s">
        <v>88</v>
      </c>
      <c r="B111" s="189"/>
      <c r="C111" s="189"/>
      <c r="D111" s="189"/>
      <c r="E111" s="189"/>
      <c r="F111" s="189"/>
      <c r="G111" s="14">
        <v>103</v>
      </c>
      <c r="H111" s="22">
        <v>359401736</v>
      </c>
      <c r="I111" s="22">
        <f>32927364+309885101</f>
        <v>342812465</v>
      </c>
    </row>
    <row r="112" spans="1:9" ht="12.75" customHeight="1" x14ac:dyDescent="0.2">
      <c r="A112" s="189" t="s">
        <v>89</v>
      </c>
      <c r="B112" s="189"/>
      <c r="C112" s="189"/>
      <c r="D112" s="189"/>
      <c r="E112" s="189"/>
      <c r="F112" s="189"/>
      <c r="G112" s="14">
        <v>104</v>
      </c>
      <c r="H112" s="22">
        <v>29417</v>
      </c>
      <c r="I112" s="22">
        <v>2489</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10195282</v>
      </c>
      <c r="I115" s="22">
        <v>8941159</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394989110</v>
      </c>
      <c r="I117" s="23">
        <f>SUM(I118:I131)</f>
        <v>598616061</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255419470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12386623</v>
      </c>
      <c r="I122" s="22">
        <v>10285046</v>
      </c>
    </row>
    <row r="123" spans="1:9" ht="12.75" customHeight="1" x14ac:dyDescent="0.2">
      <c r="A123" s="189" t="s">
        <v>88</v>
      </c>
      <c r="B123" s="189"/>
      <c r="C123" s="189"/>
      <c r="D123" s="189"/>
      <c r="E123" s="189"/>
      <c r="F123" s="189"/>
      <c r="G123" s="14">
        <v>115</v>
      </c>
      <c r="H123" s="22">
        <v>82251949</v>
      </c>
      <c r="I123" s="22">
        <f>12868165+78424338</f>
        <v>91292503</v>
      </c>
    </row>
    <row r="124" spans="1:9" ht="12.75" customHeight="1" x14ac:dyDescent="0.2">
      <c r="A124" s="189" t="s">
        <v>89</v>
      </c>
      <c r="B124" s="189"/>
      <c r="C124" s="189"/>
      <c r="D124" s="189"/>
      <c r="E124" s="189"/>
      <c r="F124" s="189"/>
      <c r="G124" s="14">
        <v>116</v>
      </c>
      <c r="H124" s="22">
        <v>4559584</v>
      </c>
      <c r="I124" s="22">
        <v>2866582</v>
      </c>
    </row>
    <row r="125" spans="1:9" ht="12.75" customHeight="1" x14ac:dyDescent="0.2">
      <c r="A125" s="189" t="s">
        <v>90</v>
      </c>
      <c r="B125" s="189"/>
      <c r="C125" s="189"/>
      <c r="D125" s="189"/>
      <c r="E125" s="189"/>
      <c r="F125" s="189"/>
      <c r="G125" s="14">
        <v>117</v>
      </c>
      <c r="H125" s="22">
        <v>66121844</v>
      </c>
      <c r="I125" s="22">
        <v>45554424</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10103264</v>
      </c>
      <c r="I127" s="22">
        <v>9840694</v>
      </c>
    </row>
    <row r="128" spans="1:9" x14ac:dyDescent="0.2">
      <c r="A128" s="189" t="s">
        <v>95</v>
      </c>
      <c r="B128" s="189"/>
      <c r="C128" s="189"/>
      <c r="D128" s="189"/>
      <c r="E128" s="189"/>
      <c r="F128" s="189"/>
      <c r="G128" s="14">
        <v>120</v>
      </c>
      <c r="H128" s="22">
        <v>7474460</v>
      </c>
      <c r="I128" s="22">
        <v>6679364</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212091386</v>
      </c>
      <c r="I131" s="22">
        <f>172303111+4374867</f>
        <v>176677978</v>
      </c>
    </row>
    <row r="132" spans="1:9" ht="22.15" customHeight="1" x14ac:dyDescent="0.2">
      <c r="A132" s="206" t="s">
        <v>99</v>
      </c>
      <c r="B132" s="206"/>
      <c r="C132" s="206"/>
      <c r="D132" s="206"/>
      <c r="E132" s="206"/>
      <c r="F132" s="206"/>
      <c r="G132" s="14">
        <v>124</v>
      </c>
      <c r="H132" s="22">
        <v>32734654</v>
      </c>
      <c r="I132" s="22">
        <v>41610480</v>
      </c>
    </row>
    <row r="133" spans="1:9" ht="12.75" customHeight="1" x14ac:dyDescent="0.2">
      <c r="A133" s="191" t="s">
        <v>357</v>
      </c>
      <c r="B133" s="191"/>
      <c r="C133" s="191"/>
      <c r="D133" s="191"/>
      <c r="E133" s="191"/>
      <c r="F133" s="191"/>
      <c r="G133" s="15">
        <v>125</v>
      </c>
      <c r="H133" s="23">
        <f>H75+H98+H105+H117+H132</f>
        <v>1532555996</v>
      </c>
      <c r="I133" s="23">
        <f>I75+I98+I105+I117+I132</f>
        <v>1373320209</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Normal="100" zoomScaleSheetLayoutView="110" workbookViewId="0">
      <selection activeCell="P92" sqref="P9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466</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465</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228363257</v>
      </c>
      <c r="I8" s="107">
        <f>SUM(I9:I13)</f>
        <v>228363257</v>
      </c>
      <c r="J8" s="107">
        <f>SUM(J9:J13)</f>
        <v>102819439</v>
      </c>
      <c r="K8" s="107">
        <f>SUM(K9:K13)</f>
        <v>102819439</v>
      </c>
    </row>
    <row r="9" spans="1:11" ht="12.75" customHeight="1" x14ac:dyDescent="0.2">
      <c r="A9" s="189" t="s">
        <v>115</v>
      </c>
      <c r="B9" s="189"/>
      <c r="C9" s="189"/>
      <c r="D9" s="189"/>
      <c r="E9" s="189"/>
      <c r="F9" s="189"/>
      <c r="G9" s="14">
        <v>2</v>
      </c>
      <c r="H9" s="108">
        <v>22880</v>
      </c>
      <c r="I9" s="108">
        <v>22880</v>
      </c>
      <c r="J9" s="108">
        <v>57389</v>
      </c>
      <c r="K9" s="108">
        <f>J9</f>
        <v>57389</v>
      </c>
    </row>
    <row r="10" spans="1:11" ht="12.75" customHeight="1" x14ac:dyDescent="0.2">
      <c r="A10" s="189" t="s">
        <v>116</v>
      </c>
      <c r="B10" s="189"/>
      <c r="C10" s="189"/>
      <c r="D10" s="189"/>
      <c r="E10" s="189"/>
      <c r="F10" s="189"/>
      <c r="G10" s="14">
        <v>3</v>
      </c>
      <c r="H10" s="108">
        <v>195335331</v>
      </c>
      <c r="I10" s="108">
        <v>195335331</v>
      </c>
      <c r="J10" s="108">
        <v>85302590</v>
      </c>
      <c r="K10" s="108">
        <f t="shared" ref="K10:K13" si="0">J10</f>
        <v>85302590</v>
      </c>
    </row>
    <row r="11" spans="1:11" ht="12.75" customHeight="1" x14ac:dyDescent="0.2">
      <c r="A11" s="189" t="s">
        <v>117</v>
      </c>
      <c r="B11" s="189"/>
      <c r="C11" s="189"/>
      <c r="D11" s="189"/>
      <c r="E11" s="189"/>
      <c r="F11" s="189"/>
      <c r="G11" s="14">
        <v>4</v>
      </c>
      <c r="H11" s="108">
        <v>0</v>
      </c>
      <c r="I11" s="108">
        <v>0</v>
      </c>
      <c r="J11" s="108">
        <v>0</v>
      </c>
      <c r="K11" s="108">
        <f t="shared" si="0"/>
        <v>0</v>
      </c>
    </row>
    <row r="12" spans="1:11" ht="12.75" customHeight="1" x14ac:dyDescent="0.2">
      <c r="A12" s="189" t="s">
        <v>118</v>
      </c>
      <c r="B12" s="189"/>
      <c r="C12" s="189"/>
      <c r="D12" s="189"/>
      <c r="E12" s="189"/>
      <c r="F12" s="189"/>
      <c r="G12" s="14">
        <v>5</v>
      </c>
      <c r="H12" s="108">
        <v>0</v>
      </c>
      <c r="I12" s="108">
        <v>0</v>
      </c>
      <c r="J12" s="108">
        <v>0</v>
      </c>
      <c r="K12" s="108">
        <f t="shared" si="0"/>
        <v>0</v>
      </c>
    </row>
    <row r="13" spans="1:11" ht="12.75" customHeight="1" x14ac:dyDescent="0.2">
      <c r="A13" s="189" t="s">
        <v>119</v>
      </c>
      <c r="B13" s="189"/>
      <c r="C13" s="189"/>
      <c r="D13" s="189"/>
      <c r="E13" s="189"/>
      <c r="F13" s="189"/>
      <c r="G13" s="14">
        <v>6</v>
      </c>
      <c r="H13" s="108">
        <v>33005046</v>
      </c>
      <c r="I13" s="108">
        <v>33005046</v>
      </c>
      <c r="J13" s="108">
        <v>17459460</v>
      </c>
      <c r="K13" s="108">
        <f t="shared" si="0"/>
        <v>17459460</v>
      </c>
    </row>
    <row r="14" spans="1:11" ht="12.75" customHeight="1" x14ac:dyDescent="0.2">
      <c r="A14" s="224" t="s">
        <v>359</v>
      </c>
      <c r="B14" s="224"/>
      <c r="C14" s="224"/>
      <c r="D14" s="224"/>
      <c r="E14" s="224"/>
      <c r="F14" s="224"/>
      <c r="G14" s="15">
        <v>7</v>
      </c>
      <c r="H14" s="107">
        <f>H15+H16+H20+H24+H25+H26+H29+H36</f>
        <v>324088044</v>
      </c>
      <c r="I14" s="107">
        <f>I15+I16+I20+I24+I25+I26+I29+I36</f>
        <v>324088044</v>
      </c>
      <c r="J14" s="107">
        <f>J15+J16+J20+J24+J25+J26+J29+J36</f>
        <v>189062550</v>
      </c>
      <c r="K14" s="107">
        <f>K15+K16+K20+K24+K25+K26+K29+K36</f>
        <v>189062550</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189064729</v>
      </c>
      <c r="I16" s="107">
        <f>SUM(I17:I19)</f>
        <v>189064729</v>
      </c>
      <c r="J16" s="107">
        <f>SUM(J17:J19)</f>
        <v>76742470</v>
      </c>
      <c r="K16" s="107">
        <f>SUM(K17:K19)</f>
        <v>76742470</v>
      </c>
    </row>
    <row r="17" spans="1:11" ht="12.75" customHeight="1" x14ac:dyDescent="0.2">
      <c r="A17" s="225" t="s">
        <v>120</v>
      </c>
      <c r="B17" s="225"/>
      <c r="C17" s="225"/>
      <c r="D17" s="225"/>
      <c r="E17" s="225"/>
      <c r="F17" s="225"/>
      <c r="G17" s="14">
        <v>10</v>
      </c>
      <c r="H17" s="108">
        <v>52422642</v>
      </c>
      <c r="I17" s="108">
        <v>52422642</v>
      </c>
      <c r="J17" s="108">
        <v>18787671</v>
      </c>
      <c r="K17" s="108">
        <f>J17</f>
        <v>18787671</v>
      </c>
    </row>
    <row r="18" spans="1:11" ht="12.75" customHeight="1" x14ac:dyDescent="0.2">
      <c r="A18" s="225" t="s">
        <v>121</v>
      </c>
      <c r="B18" s="225"/>
      <c r="C18" s="225"/>
      <c r="D18" s="225"/>
      <c r="E18" s="225"/>
      <c r="F18" s="225"/>
      <c r="G18" s="14">
        <v>11</v>
      </c>
      <c r="H18" s="108">
        <v>0</v>
      </c>
      <c r="I18" s="108">
        <v>0</v>
      </c>
      <c r="J18" s="108">
        <v>0</v>
      </c>
      <c r="K18" s="108">
        <f t="shared" ref="K18:K19" si="1">J18</f>
        <v>0</v>
      </c>
    </row>
    <row r="19" spans="1:11" ht="12.75" customHeight="1" x14ac:dyDescent="0.2">
      <c r="A19" s="225" t="s">
        <v>122</v>
      </c>
      <c r="B19" s="225"/>
      <c r="C19" s="225"/>
      <c r="D19" s="225"/>
      <c r="E19" s="225"/>
      <c r="F19" s="225"/>
      <c r="G19" s="14">
        <v>12</v>
      </c>
      <c r="H19" s="108">
        <v>136642087</v>
      </c>
      <c r="I19" s="108">
        <v>136642087</v>
      </c>
      <c r="J19" s="108">
        <v>57954799</v>
      </c>
      <c r="K19" s="108">
        <f t="shared" si="1"/>
        <v>57954799</v>
      </c>
    </row>
    <row r="20" spans="1:11" ht="12.75" customHeight="1" x14ac:dyDescent="0.2">
      <c r="A20" s="190" t="s">
        <v>440</v>
      </c>
      <c r="B20" s="190"/>
      <c r="C20" s="190"/>
      <c r="D20" s="190"/>
      <c r="E20" s="190"/>
      <c r="F20" s="190"/>
      <c r="G20" s="15">
        <v>13</v>
      </c>
      <c r="H20" s="107">
        <f>SUM(H21:H23)</f>
        <v>59433302</v>
      </c>
      <c r="I20" s="107">
        <f>SUM(I21:I23)</f>
        <v>59433302</v>
      </c>
      <c r="J20" s="107">
        <f>SUM(J21:J23)</f>
        <v>46881766</v>
      </c>
      <c r="K20" s="107">
        <f>SUM(K21:K23)</f>
        <v>46881766</v>
      </c>
    </row>
    <row r="21" spans="1:11" ht="12.75" customHeight="1" x14ac:dyDescent="0.2">
      <c r="A21" s="225" t="s">
        <v>105</v>
      </c>
      <c r="B21" s="225"/>
      <c r="C21" s="225"/>
      <c r="D21" s="225"/>
      <c r="E21" s="225"/>
      <c r="F21" s="225"/>
      <c r="G21" s="14">
        <v>14</v>
      </c>
      <c r="H21" s="108">
        <v>32739281</v>
      </c>
      <c r="I21" s="108">
        <v>32739281</v>
      </c>
      <c r="J21" s="108">
        <v>27256284</v>
      </c>
      <c r="K21" s="108">
        <f>J21</f>
        <v>27256284</v>
      </c>
    </row>
    <row r="22" spans="1:11" ht="12.75" customHeight="1" x14ac:dyDescent="0.2">
      <c r="A22" s="225" t="s">
        <v>106</v>
      </c>
      <c r="B22" s="225"/>
      <c r="C22" s="225"/>
      <c r="D22" s="225"/>
      <c r="E22" s="225"/>
      <c r="F22" s="225"/>
      <c r="G22" s="14">
        <v>15</v>
      </c>
      <c r="H22" s="108">
        <v>15889643</v>
      </c>
      <c r="I22" s="108">
        <v>15889643</v>
      </c>
      <c r="J22" s="108">
        <v>11084958</v>
      </c>
      <c r="K22" s="108">
        <f t="shared" ref="K22:K25" si="2">J22</f>
        <v>11084958</v>
      </c>
    </row>
    <row r="23" spans="1:11" ht="12.75" customHeight="1" x14ac:dyDescent="0.2">
      <c r="A23" s="225" t="s">
        <v>107</v>
      </c>
      <c r="B23" s="225"/>
      <c r="C23" s="225"/>
      <c r="D23" s="225"/>
      <c r="E23" s="225"/>
      <c r="F23" s="225"/>
      <c r="G23" s="14">
        <v>16</v>
      </c>
      <c r="H23" s="108">
        <v>10804378</v>
      </c>
      <c r="I23" s="108">
        <v>10804378</v>
      </c>
      <c r="J23" s="108">
        <v>8540524</v>
      </c>
      <c r="K23" s="108">
        <f t="shared" si="2"/>
        <v>8540524</v>
      </c>
    </row>
    <row r="24" spans="1:11" ht="12.75" customHeight="1" x14ac:dyDescent="0.2">
      <c r="A24" s="189" t="s">
        <v>108</v>
      </c>
      <c r="B24" s="189"/>
      <c r="C24" s="189"/>
      <c r="D24" s="189"/>
      <c r="E24" s="189"/>
      <c r="F24" s="189"/>
      <c r="G24" s="14">
        <v>17</v>
      </c>
      <c r="H24" s="108">
        <v>53466521</v>
      </c>
      <c r="I24" s="108">
        <v>53466521</v>
      </c>
      <c r="J24" s="108">
        <v>50177156</v>
      </c>
      <c r="K24" s="108">
        <f t="shared" si="2"/>
        <v>50177156</v>
      </c>
    </row>
    <row r="25" spans="1:11" ht="12.75" customHeight="1" x14ac:dyDescent="0.2">
      <c r="A25" s="189" t="s">
        <v>109</v>
      </c>
      <c r="B25" s="189"/>
      <c r="C25" s="189"/>
      <c r="D25" s="189"/>
      <c r="E25" s="189"/>
      <c r="F25" s="189"/>
      <c r="G25" s="14">
        <v>18</v>
      </c>
      <c r="H25" s="108">
        <v>20322297</v>
      </c>
      <c r="I25" s="108">
        <v>20322297</v>
      </c>
      <c r="J25" s="108">
        <v>13220013</v>
      </c>
      <c r="K25" s="108">
        <f t="shared" si="2"/>
        <v>13220013</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1801195</v>
      </c>
      <c r="I36" s="108">
        <v>1801195</v>
      </c>
      <c r="J36" s="108">
        <v>2041145</v>
      </c>
      <c r="K36" s="108">
        <f>J36</f>
        <v>2041145</v>
      </c>
    </row>
    <row r="37" spans="1:11" ht="12.75" customHeight="1" x14ac:dyDescent="0.2">
      <c r="A37" s="224" t="s">
        <v>360</v>
      </c>
      <c r="B37" s="224"/>
      <c r="C37" s="224"/>
      <c r="D37" s="224"/>
      <c r="E37" s="224"/>
      <c r="F37" s="224"/>
      <c r="G37" s="15">
        <v>30</v>
      </c>
      <c r="H37" s="107">
        <f>SUM(H38:H47)</f>
        <v>19618991</v>
      </c>
      <c r="I37" s="107">
        <f>SUM(I38:I47)</f>
        <v>19618991</v>
      </c>
      <c r="J37" s="107">
        <f>SUM(J38:J47)</f>
        <v>10802259</v>
      </c>
      <c r="K37" s="107">
        <f>SUM(K38:K47)</f>
        <v>10802259</v>
      </c>
    </row>
    <row r="38" spans="1:11" ht="12.75" customHeight="1" x14ac:dyDescent="0.2">
      <c r="A38" s="189" t="s">
        <v>131</v>
      </c>
      <c r="B38" s="189"/>
      <c r="C38" s="189"/>
      <c r="D38" s="189"/>
      <c r="E38" s="189"/>
      <c r="F38" s="189"/>
      <c r="G38" s="14">
        <v>31</v>
      </c>
      <c r="H38" s="108">
        <v>0</v>
      </c>
      <c r="I38" s="108">
        <v>0</v>
      </c>
      <c r="J38" s="108">
        <v>0</v>
      </c>
      <c r="K38" s="108">
        <f>J38</f>
        <v>0</v>
      </c>
    </row>
    <row r="39" spans="1:11" ht="25.15" customHeight="1" x14ac:dyDescent="0.2">
      <c r="A39" s="189" t="s">
        <v>132</v>
      </c>
      <c r="B39" s="189"/>
      <c r="C39" s="189"/>
      <c r="D39" s="189"/>
      <c r="E39" s="189"/>
      <c r="F39" s="189"/>
      <c r="G39" s="14">
        <v>32</v>
      </c>
      <c r="H39" s="108">
        <v>0</v>
      </c>
      <c r="I39" s="108">
        <v>0</v>
      </c>
      <c r="J39" s="108">
        <v>0</v>
      </c>
      <c r="K39" s="108">
        <f t="shared" ref="K39:K47" si="3">J39</f>
        <v>0</v>
      </c>
    </row>
    <row r="40" spans="1:11" ht="25.15" customHeight="1" x14ac:dyDescent="0.2">
      <c r="A40" s="189" t="s">
        <v>133</v>
      </c>
      <c r="B40" s="189"/>
      <c r="C40" s="189"/>
      <c r="D40" s="189"/>
      <c r="E40" s="189"/>
      <c r="F40" s="189"/>
      <c r="G40" s="14">
        <v>33</v>
      </c>
      <c r="H40" s="108">
        <v>0</v>
      </c>
      <c r="I40" s="108">
        <v>0</v>
      </c>
      <c r="J40" s="108">
        <v>0</v>
      </c>
      <c r="K40" s="108">
        <f t="shared" si="3"/>
        <v>0</v>
      </c>
    </row>
    <row r="41" spans="1:11" ht="25.15" customHeight="1" x14ac:dyDescent="0.2">
      <c r="A41" s="189" t="s">
        <v>134</v>
      </c>
      <c r="B41" s="189"/>
      <c r="C41" s="189"/>
      <c r="D41" s="189"/>
      <c r="E41" s="189"/>
      <c r="F41" s="189"/>
      <c r="G41" s="14">
        <v>34</v>
      </c>
      <c r="H41" s="108">
        <v>0</v>
      </c>
      <c r="I41" s="108">
        <v>0</v>
      </c>
      <c r="J41" s="108">
        <v>11458</v>
      </c>
      <c r="K41" s="108">
        <f t="shared" si="3"/>
        <v>11458</v>
      </c>
    </row>
    <row r="42" spans="1:11" ht="25.15" customHeight="1" x14ac:dyDescent="0.2">
      <c r="A42" s="189" t="s">
        <v>135</v>
      </c>
      <c r="B42" s="189"/>
      <c r="C42" s="189"/>
      <c r="D42" s="189"/>
      <c r="E42" s="189"/>
      <c r="F42" s="189"/>
      <c r="G42" s="14">
        <v>35</v>
      </c>
      <c r="H42" s="108">
        <v>0</v>
      </c>
      <c r="I42" s="108">
        <v>0</v>
      </c>
      <c r="J42" s="108">
        <v>0</v>
      </c>
      <c r="K42" s="108">
        <f t="shared" si="3"/>
        <v>0</v>
      </c>
    </row>
    <row r="43" spans="1:11" ht="12.75" customHeight="1" x14ac:dyDescent="0.2">
      <c r="A43" s="189" t="s">
        <v>136</v>
      </c>
      <c r="B43" s="189"/>
      <c r="C43" s="189"/>
      <c r="D43" s="189"/>
      <c r="E43" s="189"/>
      <c r="F43" s="189"/>
      <c r="G43" s="14">
        <v>36</v>
      </c>
      <c r="H43" s="108">
        <v>0</v>
      </c>
      <c r="I43" s="108">
        <v>0</v>
      </c>
      <c r="J43" s="108">
        <v>0</v>
      </c>
      <c r="K43" s="108">
        <f t="shared" si="3"/>
        <v>0</v>
      </c>
    </row>
    <row r="44" spans="1:11" ht="12.75" customHeight="1" x14ac:dyDescent="0.2">
      <c r="A44" s="189" t="s">
        <v>137</v>
      </c>
      <c r="B44" s="189"/>
      <c r="C44" s="189"/>
      <c r="D44" s="189"/>
      <c r="E44" s="189"/>
      <c r="F44" s="189"/>
      <c r="G44" s="14">
        <v>37</v>
      </c>
      <c r="H44" s="108">
        <v>6371</v>
      </c>
      <c r="I44" s="108">
        <v>6371</v>
      </c>
      <c r="J44" s="108">
        <v>6428</v>
      </c>
      <c r="K44" s="108">
        <f t="shared" si="3"/>
        <v>6428</v>
      </c>
    </row>
    <row r="45" spans="1:11" ht="12.75" customHeight="1" x14ac:dyDescent="0.2">
      <c r="A45" s="189" t="s">
        <v>138</v>
      </c>
      <c r="B45" s="189"/>
      <c r="C45" s="189"/>
      <c r="D45" s="189"/>
      <c r="E45" s="189"/>
      <c r="F45" s="189"/>
      <c r="G45" s="14">
        <v>38</v>
      </c>
      <c r="H45" s="108">
        <v>19612620</v>
      </c>
      <c r="I45" s="108">
        <v>19612620</v>
      </c>
      <c r="J45" s="108">
        <v>10784373</v>
      </c>
      <c r="K45" s="108">
        <f t="shared" si="3"/>
        <v>10784373</v>
      </c>
    </row>
    <row r="46" spans="1:11" ht="12.75" customHeight="1" x14ac:dyDescent="0.2">
      <c r="A46" s="189" t="s">
        <v>139</v>
      </c>
      <c r="B46" s="189"/>
      <c r="C46" s="189"/>
      <c r="D46" s="189"/>
      <c r="E46" s="189"/>
      <c r="F46" s="189"/>
      <c r="G46" s="14">
        <v>39</v>
      </c>
      <c r="H46" s="108">
        <v>0</v>
      </c>
      <c r="I46" s="108">
        <v>0</v>
      </c>
      <c r="J46" s="108">
        <v>0</v>
      </c>
      <c r="K46" s="108">
        <f t="shared" si="3"/>
        <v>0</v>
      </c>
    </row>
    <row r="47" spans="1:11" ht="12.75" customHeight="1" x14ac:dyDescent="0.2">
      <c r="A47" s="189" t="s">
        <v>140</v>
      </c>
      <c r="B47" s="189"/>
      <c r="C47" s="189"/>
      <c r="D47" s="189"/>
      <c r="E47" s="189"/>
      <c r="F47" s="189"/>
      <c r="G47" s="14">
        <v>40</v>
      </c>
      <c r="H47" s="108">
        <v>0</v>
      </c>
      <c r="I47" s="108">
        <v>0</v>
      </c>
      <c r="J47" s="108">
        <v>0</v>
      </c>
      <c r="K47" s="108">
        <f t="shared" si="3"/>
        <v>0</v>
      </c>
    </row>
    <row r="48" spans="1:11" ht="12.75" customHeight="1" x14ac:dyDescent="0.2">
      <c r="A48" s="224" t="s">
        <v>361</v>
      </c>
      <c r="B48" s="224"/>
      <c r="C48" s="224"/>
      <c r="D48" s="224"/>
      <c r="E48" s="224"/>
      <c r="F48" s="224"/>
      <c r="G48" s="15">
        <v>41</v>
      </c>
      <c r="H48" s="107">
        <f>SUM(H49:H55)</f>
        <v>34432995</v>
      </c>
      <c r="I48" s="107">
        <f>SUM(I49:I55)</f>
        <v>34432995</v>
      </c>
      <c r="J48" s="107">
        <f>SUM(J49:J55)</f>
        <v>21428636</v>
      </c>
      <c r="K48" s="107">
        <f>SUM(K49:K55)</f>
        <v>21428636</v>
      </c>
    </row>
    <row r="49" spans="1:11" ht="25.15" customHeight="1" x14ac:dyDescent="0.2">
      <c r="A49" s="189" t="s">
        <v>141</v>
      </c>
      <c r="B49" s="189"/>
      <c r="C49" s="189"/>
      <c r="D49" s="189"/>
      <c r="E49" s="189"/>
      <c r="F49" s="189"/>
      <c r="G49" s="14">
        <v>42</v>
      </c>
      <c r="H49" s="108">
        <v>1139726</v>
      </c>
      <c r="I49" s="108">
        <v>1139726</v>
      </c>
      <c r="J49" s="108">
        <v>1676712</v>
      </c>
      <c r="K49" s="108">
        <f>J49</f>
        <v>1676712</v>
      </c>
    </row>
    <row r="50" spans="1:11" ht="12.75" customHeight="1" x14ac:dyDescent="0.2">
      <c r="A50" s="228" t="s">
        <v>142</v>
      </c>
      <c r="B50" s="228"/>
      <c r="C50" s="228"/>
      <c r="D50" s="228"/>
      <c r="E50" s="228"/>
      <c r="F50" s="228"/>
      <c r="G50" s="14">
        <v>43</v>
      </c>
      <c r="H50" s="108">
        <v>0</v>
      </c>
      <c r="I50" s="108">
        <v>0</v>
      </c>
      <c r="J50" s="108">
        <v>0</v>
      </c>
      <c r="K50" s="108">
        <f t="shared" ref="K50:K59" si="4">J50</f>
        <v>0</v>
      </c>
    </row>
    <row r="51" spans="1:11" ht="12.75" customHeight="1" x14ac:dyDescent="0.2">
      <c r="A51" s="228" t="s">
        <v>143</v>
      </c>
      <c r="B51" s="228"/>
      <c r="C51" s="228"/>
      <c r="D51" s="228"/>
      <c r="E51" s="228"/>
      <c r="F51" s="228"/>
      <c r="G51" s="14">
        <v>44</v>
      </c>
      <c r="H51" s="108">
        <v>4111962</v>
      </c>
      <c r="I51" s="108">
        <v>4111962</v>
      </c>
      <c r="J51" s="108">
        <v>3316096</v>
      </c>
      <c r="K51" s="108">
        <f t="shared" si="4"/>
        <v>3316096</v>
      </c>
    </row>
    <row r="52" spans="1:11" ht="12.75" customHeight="1" x14ac:dyDescent="0.2">
      <c r="A52" s="228" t="s">
        <v>144</v>
      </c>
      <c r="B52" s="228"/>
      <c r="C52" s="228"/>
      <c r="D52" s="228"/>
      <c r="E52" s="228"/>
      <c r="F52" s="228"/>
      <c r="G52" s="14">
        <v>45</v>
      </c>
      <c r="H52" s="108">
        <v>29179307</v>
      </c>
      <c r="I52" s="108">
        <v>29179307</v>
      </c>
      <c r="J52" s="108">
        <v>16435828</v>
      </c>
      <c r="K52" s="108">
        <f t="shared" si="4"/>
        <v>16435828</v>
      </c>
    </row>
    <row r="53" spans="1:11" ht="12.75" customHeight="1" x14ac:dyDescent="0.2">
      <c r="A53" s="228" t="s">
        <v>145</v>
      </c>
      <c r="B53" s="228"/>
      <c r="C53" s="228"/>
      <c r="D53" s="228"/>
      <c r="E53" s="228"/>
      <c r="F53" s="228"/>
      <c r="G53" s="14">
        <v>46</v>
      </c>
      <c r="H53" s="108">
        <v>0</v>
      </c>
      <c r="I53" s="108">
        <v>0</v>
      </c>
      <c r="J53" s="108">
        <v>0</v>
      </c>
      <c r="K53" s="108">
        <f t="shared" si="4"/>
        <v>0</v>
      </c>
    </row>
    <row r="54" spans="1:11" ht="12.75" customHeight="1" x14ac:dyDescent="0.2">
      <c r="A54" s="228" t="s">
        <v>146</v>
      </c>
      <c r="B54" s="228"/>
      <c r="C54" s="228"/>
      <c r="D54" s="228"/>
      <c r="E54" s="228"/>
      <c r="F54" s="228"/>
      <c r="G54" s="14">
        <v>47</v>
      </c>
      <c r="H54" s="108">
        <v>0</v>
      </c>
      <c r="I54" s="108">
        <v>0</v>
      </c>
      <c r="J54" s="108">
        <v>0</v>
      </c>
      <c r="K54" s="108">
        <f t="shared" si="4"/>
        <v>0</v>
      </c>
    </row>
    <row r="55" spans="1:11" ht="12.75" customHeight="1" x14ac:dyDescent="0.2">
      <c r="A55" s="228" t="s">
        <v>147</v>
      </c>
      <c r="B55" s="228"/>
      <c r="C55" s="228"/>
      <c r="D55" s="228"/>
      <c r="E55" s="228"/>
      <c r="F55" s="228"/>
      <c r="G55" s="14">
        <v>48</v>
      </c>
      <c r="H55" s="108">
        <v>2000</v>
      </c>
      <c r="I55" s="108">
        <v>2000</v>
      </c>
      <c r="J55" s="108">
        <v>0</v>
      </c>
      <c r="K55" s="108">
        <f t="shared" si="4"/>
        <v>0</v>
      </c>
    </row>
    <row r="56" spans="1:11" ht="22.15" customHeight="1" x14ac:dyDescent="0.2">
      <c r="A56" s="230" t="s">
        <v>148</v>
      </c>
      <c r="B56" s="230"/>
      <c r="C56" s="230"/>
      <c r="D56" s="230"/>
      <c r="E56" s="230"/>
      <c r="F56" s="230"/>
      <c r="G56" s="14">
        <v>49</v>
      </c>
      <c r="H56" s="108">
        <v>0</v>
      </c>
      <c r="I56" s="108">
        <v>0</v>
      </c>
      <c r="J56" s="108">
        <v>0</v>
      </c>
      <c r="K56" s="108">
        <f t="shared" si="4"/>
        <v>0</v>
      </c>
    </row>
    <row r="57" spans="1:11" ht="12.75" customHeight="1" x14ac:dyDescent="0.2">
      <c r="A57" s="230" t="s">
        <v>149</v>
      </c>
      <c r="B57" s="230"/>
      <c r="C57" s="230"/>
      <c r="D57" s="230"/>
      <c r="E57" s="230"/>
      <c r="F57" s="230"/>
      <c r="G57" s="14">
        <v>50</v>
      </c>
      <c r="H57" s="108">
        <v>0</v>
      </c>
      <c r="I57" s="108">
        <v>0</v>
      </c>
      <c r="J57" s="108">
        <v>0</v>
      </c>
      <c r="K57" s="108">
        <f t="shared" si="4"/>
        <v>0</v>
      </c>
    </row>
    <row r="58" spans="1:11" ht="24.6" customHeight="1" x14ac:dyDescent="0.2">
      <c r="A58" s="230" t="s">
        <v>150</v>
      </c>
      <c r="B58" s="230"/>
      <c r="C58" s="230"/>
      <c r="D58" s="230"/>
      <c r="E58" s="230"/>
      <c r="F58" s="230"/>
      <c r="G58" s="14">
        <v>51</v>
      </c>
      <c r="H58" s="108">
        <v>0</v>
      </c>
      <c r="I58" s="108">
        <v>0</v>
      </c>
      <c r="J58" s="108">
        <v>0</v>
      </c>
      <c r="K58" s="108">
        <f t="shared" si="4"/>
        <v>0</v>
      </c>
    </row>
    <row r="59" spans="1:11" ht="12.75" customHeight="1" x14ac:dyDescent="0.2">
      <c r="A59" s="230" t="s">
        <v>151</v>
      </c>
      <c r="B59" s="230"/>
      <c r="C59" s="230"/>
      <c r="D59" s="230"/>
      <c r="E59" s="230"/>
      <c r="F59" s="230"/>
      <c r="G59" s="14">
        <v>52</v>
      </c>
      <c r="H59" s="108">
        <v>0</v>
      </c>
      <c r="I59" s="108">
        <v>0</v>
      </c>
      <c r="J59" s="108">
        <v>0</v>
      </c>
      <c r="K59" s="108">
        <f t="shared" si="4"/>
        <v>0</v>
      </c>
    </row>
    <row r="60" spans="1:11" ht="12.75" customHeight="1" x14ac:dyDescent="0.2">
      <c r="A60" s="224" t="s">
        <v>362</v>
      </c>
      <c r="B60" s="224"/>
      <c r="C60" s="224"/>
      <c r="D60" s="224"/>
      <c r="E60" s="224"/>
      <c r="F60" s="224"/>
      <c r="G60" s="15">
        <v>53</v>
      </c>
      <c r="H60" s="107">
        <f>H8+H37+H56+H57</f>
        <v>247982248</v>
      </c>
      <c r="I60" s="107">
        <f t="shared" ref="I60:K60" si="5">I8+I37+I56+I57</f>
        <v>247982248</v>
      </c>
      <c r="J60" s="107">
        <f t="shared" si="5"/>
        <v>113621698</v>
      </c>
      <c r="K60" s="107">
        <f t="shared" si="5"/>
        <v>113621698</v>
      </c>
    </row>
    <row r="61" spans="1:11" ht="12.75" customHeight="1" x14ac:dyDescent="0.2">
      <c r="A61" s="224" t="s">
        <v>363</v>
      </c>
      <c r="B61" s="224"/>
      <c r="C61" s="224"/>
      <c r="D61" s="224"/>
      <c r="E61" s="224"/>
      <c r="F61" s="224"/>
      <c r="G61" s="15">
        <v>54</v>
      </c>
      <c r="H61" s="107">
        <f>H14+H48+H58+H59</f>
        <v>358521039</v>
      </c>
      <c r="I61" s="107">
        <f t="shared" ref="I61:K61" si="6">I14+I48+I58+I59</f>
        <v>358521039</v>
      </c>
      <c r="J61" s="107">
        <f t="shared" si="6"/>
        <v>210491186</v>
      </c>
      <c r="K61" s="107">
        <f t="shared" si="6"/>
        <v>210491186</v>
      </c>
    </row>
    <row r="62" spans="1:11" ht="12.75" customHeight="1" x14ac:dyDescent="0.2">
      <c r="A62" s="224" t="s">
        <v>364</v>
      </c>
      <c r="B62" s="224"/>
      <c r="C62" s="224"/>
      <c r="D62" s="224"/>
      <c r="E62" s="224"/>
      <c r="F62" s="224"/>
      <c r="G62" s="15">
        <v>55</v>
      </c>
      <c r="H62" s="107">
        <f>H60-H61</f>
        <v>-110538791</v>
      </c>
      <c r="I62" s="107">
        <f t="shared" ref="I62:K62" si="7">I60-I61</f>
        <v>-110538791</v>
      </c>
      <c r="J62" s="107">
        <f t="shared" si="7"/>
        <v>-96869488</v>
      </c>
      <c r="K62" s="107">
        <f t="shared" si="7"/>
        <v>-96869488</v>
      </c>
    </row>
    <row r="63" spans="1:11" ht="12.75" customHeight="1" x14ac:dyDescent="0.2">
      <c r="A63" s="229" t="s">
        <v>365</v>
      </c>
      <c r="B63" s="229"/>
      <c r="C63" s="229"/>
      <c r="D63" s="229"/>
      <c r="E63" s="229"/>
      <c r="F63" s="229"/>
      <c r="G63" s="15">
        <v>56</v>
      </c>
      <c r="H63" s="107">
        <f>+IF((H60-H61)&gt;0,(H60-H61),0)</f>
        <v>0</v>
      </c>
      <c r="I63" s="107">
        <f t="shared" ref="I63:K63" si="8">+IF((I60-I61)&gt;0,(I60-I61),0)</f>
        <v>0</v>
      </c>
      <c r="J63" s="107">
        <f t="shared" si="8"/>
        <v>0</v>
      </c>
      <c r="K63" s="107">
        <f t="shared" si="8"/>
        <v>0</v>
      </c>
    </row>
    <row r="64" spans="1:11" ht="12.75" customHeight="1" x14ac:dyDescent="0.2">
      <c r="A64" s="229" t="s">
        <v>366</v>
      </c>
      <c r="B64" s="229"/>
      <c r="C64" s="229"/>
      <c r="D64" s="229"/>
      <c r="E64" s="229"/>
      <c r="F64" s="229"/>
      <c r="G64" s="15">
        <v>57</v>
      </c>
      <c r="H64" s="107">
        <f>+IF((H60-H61)&lt;0,(H60-H61),0)</f>
        <v>-110538791</v>
      </c>
      <c r="I64" s="107">
        <f t="shared" ref="I64:K64" si="9">+IF((I60-I61)&lt;0,(I60-I61),0)</f>
        <v>-110538791</v>
      </c>
      <c r="J64" s="107">
        <f t="shared" si="9"/>
        <v>-96869488</v>
      </c>
      <c r="K64" s="107">
        <f t="shared" si="9"/>
        <v>-96869488</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-110538791</v>
      </c>
      <c r="I66" s="107">
        <f t="shared" ref="I66:K66" si="10">I62-I65</f>
        <v>-110538791</v>
      </c>
      <c r="J66" s="107">
        <f t="shared" si="10"/>
        <v>-96869488</v>
      </c>
      <c r="K66" s="107">
        <f t="shared" si="10"/>
        <v>-96869488</v>
      </c>
    </row>
    <row r="67" spans="1:11" ht="12.75" customHeight="1" x14ac:dyDescent="0.2">
      <c r="A67" s="229" t="s">
        <v>368</v>
      </c>
      <c r="B67" s="229"/>
      <c r="C67" s="229"/>
      <c r="D67" s="229"/>
      <c r="E67" s="229"/>
      <c r="F67" s="229"/>
      <c r="G67" s="15">
        <v>60</v>
      </c>
      <c r="H67" s="107">
        <f>+IF((H62-H65)&gt;0,(H62-H65),0)</f>
        <v>0</v>
      </c>
      <c r="I67" s="107">
        <f t="shared" ref="I67:K67" si="11">+IF((I62-I65)&gt;0,(I62-I65),0)</f>
        <v>0</v>
      </c>
      <c r="J67" s="107">
        <f t="shared" si="11"/>
        <v>0</v>
      </c>
      <c r="K67" s="107">
        <f t="shared" si="11"/>
        <v>0</v>
      </c>
    </row>
    <row r="68" spans="1:11" ht="12.75" customHeight="1" x14ac:dyDescent="0.2">
      <c r="A68" s="229" t="s">
        <v>369</v>
      </c>
      <c r="B68" s="229"/>
      <c r="C68" s="229"/>
      <c r="D68" s="229"/>
      <c r="E68" s="229"/>
      <c r="F68" s="229"/>
      <c r="G68" s="15">
        <v>61</v>
      </c>
      <c r="H68" s="107">
        <f>+IF((H62-H65)&lt;0,(H62-H65),0)</f>
        <v>-110538791</v>
      </c>
      <c r="I68" s="107">
        <f t="shared" ref="I68:K68" si="12">+IF((I62-I65)&lt;0,(I62-I65),0)</f>
        <v>-110538791</v>
      </c>
      <c r="J68" s="107">
        <f t="shared" si="12"/>
        <v>-96869488</v>
      </c>
      <c r="K68" s="107">
        <f t="shared" si="12"/>
        <v>-96869488</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-110538791</v>
      </c>
      <c r="I89" s="111">
        <v>-110538791</v>
      </c>
      <c r="J89" s="111">
        <f>J66</f>
        <v>-96869488</v>
      </c>
      <c r="K89" s="111">
        <f>K66</f>
        <v>-96869488</v>
      </c>
    </row>
    <row r="90" spans="1:11" ht="24" customHeight="1" x14ac:dyDescent="0.2">
      <c r="A90" s="191" t="s">
        <v>436</v>
      </c>
      <c r="B90" s="191"/>
      <c r="C90" s="191"/>
      <c r="D90" s="191"/>
      <c r="E90" s="191"/>
      <c r="F90" s="191"/>
      <c r="G90" s="15">
        <v>79</v>
      </c>
      <c r="H90" s="128">
        <f>H91+H98</f>
        <v>-1467401</v>
      </c>
      <c r="I90" s="128">
        <f>I91+I98</f>
        <v>-1467401</v>
      </c>
      <c r="J90" s="128">
        <f t="shared" ref="J90:K90" si="13">J91+J98</f>
        <v>-151899</v>
      </c>
      <c r="K90" s="128">
        <f t="shared" si="13"/>
        <v>-151899</v>
      </c>
    </row>
    <row r="91" spans="1:11" ht="24" customHeight="1" x14ac:dyDescent="0.2">
      <c r="A91" s="239" t="s">
        <v>443</v>
      </c>
      <c r="B91" s="239"/>
      <c r="C91" s="239"/>
      <c r="D91" s="239"/>
      <c r="E91" s="239"/>
      <c r="F91" s="239"/>
      <c r="G91" s="15">
        <v>80</v>
      </c>
      <c r="H91" s="128">
        <f>SUM(H92:H96)</f>
        <v>-222912</v>
      </c>
      <c r="I91" s="128">
        <f>SUM(I92:I96)</f>
        <v>-222912</v>
      </c>
      <c r="J91" s="128">
        <f t="shared" ref="J91:K91" si="14">SUM(J92:J96)</f>
        <v>0</v>
      </c>
      <c r="K91" s="128">
        <f t="shared" si="14"/>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-222912</v>
      </c>
      <c r="I93" s="111">
        <v>-222912</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-1244489</v>
      </c>
      <c r="I98" s="128">
        <f>SUM(I99:I106)</f>
        <v>-1244489</v>
      </c>
      <c r="J98" s="128">
        <f t="shared" ref="J98:K98" si="15">SUM(J99:J106)</f>
        <v>-151899</v>
      </c>
      <c r="K98" s="128">
        <f t="shared" si="15"/>
        <v>-151899</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-1244489</v>
      </c>
      <c r="I101" s="111">
        <v>-1244489</v>
      </c>
      <c r="J101" s="111">
        <v>-151899</v>
      </c>
      <c r="K101" s="111">
        <v>-151899</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-1467401</v>
      </c>
      <c r="I108" s="128">
        <f>I91+I98-I107-I97</f>
        <v>-1467401</v>
      </c>
      <c r="J108" s="128">
        <f t="shared" ref="J108:K108" si="16">J91+J98-J107-J97</f>
        <v>-151899</v>
      </c>
      <c r="K108" s="128">
        <f t="shared" si="16"/>
        <v>-151899</v>
      </c>
    </row>
    <row r="109" spans="1:11" ht="12.75" customHeight="1" x14ac:dyDescent="0.2">
      <c r="A109" s="191" t="s">
        <v>392</v>
      </c>
      <c r="B109" s="191"/>
      <c r="C109" s="191"/>
      <c r="D109" s="191"/>
      <c r="E109" s="191"/>
      <c r="F109" s="191"/>
      <c r="G109" s="15">
        <v>98</v>
      </c>
      <c r="H109" s="110">
        <f>H89+H108</f>
        <v>-112006192</v>
      </c>
      <c r="I109" s="110">
        <f>I89+I108</f>
        <v>-112006192</v>
      </c>
      <c r="J109" s="110">
        <f t="shared" ref="J109:K109" si="17">J89+J108</f>
        <v>-97021387</v>
      </c>
      <c r="K109" s="110">
        <f t="shared" si="17"/>
        <v>-97021387</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I71" sqref="I7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467</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465</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-110538791</v>
      </c>
      <c r="I8" s="123">
        <v>-96869488</v>
      </c>
    </row>
    <row r="9" spans="1:9" ht="12.75" customHeight="1" x14ac:dyDescent="0.2">
      <c r="A9" s="248" t="s">
        <v>171</v>
      </c>
      <c r="B9" s="248"/>
      <c r="C9" s="248"/>
      <c r="D9" s="248"/>
      <c r="E9" s="248"/>
      <c r="F9" s="248"/>
      <c r="G9" s="124">
        <v>2</v>
      </c>
      <c r="H9" s="125">
        <f>H10+H11+H12+H13+H14+H15+H16+H17</f>
        <v>84176437</v>
      </c>
      <c r="I9" s="125">
        <f>I10+I11+I12+I13+I14+I15+I16+I17</f>
        <v>55170291</v>
      </c>
    </row>
    <row r="10" spans="1:9" ht="12.75" customHeight="1" x14ac:dyDescent="0.2">
      <c r="A10" s="225" t="s">
        <v>172</v>
      </c>
      <c r="B10" s="225"/>
      <c r="C10" s="225"/>
      <c r="D10" s="225"/>
      <c r="E10" s="225"/>
      <c r="F10" s="225"/>
      <c r="G10" s="122">
        <v>3</v>
      </c>
      <c r="H10" s="123">
        <v>53466521</v>
      </c>
      <c r="I10" s="123">
        <v>50177156</v>
      </c>
    </row>
    <row r="11" spans="1:9" ht="22.15" customHeight="1" x14ac:dyDescent="0.2">
      <c r="A11" s="225" t="s">
        <v>173</v>
      </c>
      <c r="B11" s="225"/>
      <c r="C11" s="225"/>
      <c r="D11" s="225"/>
      <c r="E11" s="225"/>
      <c r="F11" s="225"/>
      <c r="G11" s="122">
        <v>4</v>
      </c>
      <c r="H11" s="123">
        <v>-84164</v>
      </c>
      <c r="I11" s="123">
        <v>-901</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-6371</v>
      </c>
      <c r="I13" s="123">
        <v>-17886</v>
      </c>
    </row>
    <row r="14" spans="1:9" ht="12.75" customHeight="1" x14ac:dyDescent="0.2">
      <c r="A14" s="225" t="s">
        <v>176</v>
      </c>
      <c r="B14" s="225"/>
      <c r="C14" s="225"/>
      <c r="D14" s="225"/>
      <c r="E14" s="225"/>
      <c r="F14" s="225"/>
      <c r="G14" s="122">
        <v>7</v>
      </c>
      <c r="H14" s="123">
        <v>5251688</v>
      </c>
      <c r="I14" s="123">
        <v>4992809</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10534566</v>
      </c>
      <c r="I16" s="123">
        <v>5895015</v>
      </c>
    </row>
    <row r="17" spans="1:9" ht="25.15" customHeight="1" x14ac:dyDescent="0.2">
      <c r="A17" s="225" t="s">
        <v>179</v>
      </c>
      <c r="B17" s="225"/>
      <c r="C17" s="225"/>
      <c r="D17" s="225"/>
      <c r="E17" s="225"/>
      <c r="F17" s="225"/>
      <c r="G17" s="122">
        <v>10</v>
      </c>
      <c r="H17" s="123">
        <f>15014197</f>
        <v>15014197</v>
      </c>
      <c r="I17" s="123">
        <v>-5875902</v>
      </c>
    </row>
    <row r="18" spans="1:9" ht="28.15" customHeight="1" x14ac:dyDescent="0.2">
      <c r="A18" s="247" t="s">
        <v>307</v>
      </c>
      <c r="B18" s="247"/>
      <c r="C18" s="247"/>
      <c r="D18" s="247"/>
      <c r="E18" s="247"/>
      <c r="F18" s="247"/>
      <c r="G18" s="124">
        <v>11</v>
      </c>
      <c r="H18" s="125">
        <f>H8+H9</f>
        <v>-26362354</v>
      </c>
      <c r="I18" s="125">
        <f>I8+I9</f>
        <v>-41699197</v>
      </c>
    </row>
    <row r="19" spans="1:9" ht="12.75" customHeight="1" x14ac:dyDescent="0.2">
      <c r="A19" s="248" t="s">
        <v>180</v>
      </c>
      <c r="B19" s="248"/>
      <c r="C19" s="248"/>
      <c r="D19" s="248"/>
      <c r="E19" s="248"/>
      <c r="F19" s="248"/>
      <c r="G19" s="124">
        <v>12</v>
      </c>
      <c r="H19" s="125">
        <f>H20+H21+H22+H23</f>
        <v>26832873</v>
      </c>
      <c r="I19" s="125">
        <f>I20+I21+I22+I23</f>
        <v>-28187696</v>
      </c>
    </row>
    <row r="20" spans="1:9" ht="12.75" customHeight="1" x14ac:dyDescent="0.2">
      <c r="A20" s="225" t="s">
        <v>181</v>
      </c>
      <c r="B20" s="225"/>
      <c r="C20" s="225"/>
      <c r="D20" s="225"/>
      <c r="E20" s="225"/>
      <c r="F20" s="225"/>
      <c r="G20" s="122">
        <v>13</v>
      </c>
      <c r="H20" s="123">
        <v>35986888</v>
      </c>
      <c r="I20" s="123">
        <v>-53531851</v>
      </c>
    </row>
    <row r="21" spans="1:9" ht="12.75" customHeight="1" x14ac:dyDescent="0.2">
      <c r="A21" s="225" t="s">
        <v>182</v>
      </c>
      <c r="B21" s="225"/>
      <c r="C21" s="225"/>
      <c r="D21" s="225"/>
      <c r="E21" s="225"/>
      <c r="F21" s="225"/>
      <c r="G21" s="122">
        <v>14</v>
      </c>
      <c r="H21" s="123">
        <v>-7792785</v>
      </c>
      <c r="I21" s="123">
        <v>18129935</v>
      </c>
    </row>
    <row r="22" spans="1:9" ht="12.75" customHeight="1" x14ac:dyDescent="0.2">
      <c r="A22" s="225" t="s">
        <v>183</v>
      </c>
      <c r="B22" s="225"/>
      <c r="C22" s="225"/>
      <c r="D22" s="225"/>
      <c r="E22" s="225"/>
      <c r="F22" s="225"/>
      <c r="G22" s="122">
        <v>15</v>
      </c>
      <c r="H22" s="123">
        <v>-709793</v>
      </c>
      <c r="I22" s="123">
        <v>-237454</v>
      </c>
    </row>
    <row r="23" spans="1:9" ht="12.75" customHeight="1" x14ac:dyDescent="0.2">
      <c r="A23" s="225" t="s">
        <v>184</v>
      </c>
      <c r="B23" s="225"/>
      <c r="C23" s="225"/>
      <c r="D23" s="225"/>
      <c r="E23" s="225"/>
      <c r="F23" s="225"/>
      <c r="G23" s="122">
        <v>16</v>
      </c>
      <c r="H23" s="123">
        <v>-651437</v>
      </c>
      <c r="I23" s="123">
        <v>7451674</v>
      </c>
    </row>
    <row r="24" spans="1:9" ht="12.75" customHeight="1" x14ac:dyDescent="0.2">
      <c r="A24" s="247" t="s">
        <v>185</v>
      </c>
      <c r="B24" s="247"/>
      <c r="C24" s="247"/>
      <c r="D24" s="247"/>
      <c r="E24" s="247"/>
      <c r="F24" s="247"/>
      <c r="G24" s="124">
        <v>17</v>
      </c>
      <c r="H24" s="125">
        <f>H18+H19</f>
        <v>470519</v>
      </c>
      <c r="I24" s="125">
        <f>I18+I19</f>
        <v>-69886893</v>
      </c>
    </row>
    <row r="25" spans="1:9" ht="12.75" customHeight="1" x14ac:dyDescent="0.2">
      <c r="A25" s="189" t="s">
        <v>186</v>
      </c>
      <c r="B25" s="189"/>
      <c r="C25" s="189"/>
      <c r="D25" s="189"/>
      <c r="E25" s="189"/>
      <c r="F25" s="189"/>
      <c r="G25" s="122">
        <v>18</v>
      </c>
      <c r="H25" s="123">
        <f>-191287-3436314</f>
        <v>-3627601</v>
      </c>
      <c r="I25" s="123">
        <v>-3308915</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-3157082</v>
      </c>
      <c r="I27" s="125">
        <f>I24+I25+I26</f>
        <v>-73195808</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2000</v>
      </c>
      <c r="I29" s="126">
        <v>544087</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2000</v>
      </c>
      <c r="I35" s="127">
        <f>I29+I30+I31+I32+I33+I34</f>
        <v>544087</v>
      </c>
    </row>
    <row r="36" spans="1:9" ht="22.9" customHeight="1" x14ac:dyDescent="0.2">
      <c r="A36" s="189" t="s">
        <v>197</v>
      </c>
      <c r="B36" s="189"/>
      <c r="C36" s="189"/>
      <c r="D36" s="189"/>
      <c r="E36" s="189"/>
      <c r="F36" s="189"/>
      <c r="G36" s="122">
        <v>28</v>
      </c>
      <c r="H36" s="126">
        <v>-52263701</v>
      </c>
      <c r="I36" s="126">
        <v>-2691227</v>
      </c>
    </row>
    <row r="37" spans="1:9" ht="12.75" customHeight="1" x14ac:dyDescent="0.2">
      <c r="A37" s="189" t="s">
        <v>198</v>
      </c>
      <c r="B37" s="189"/>
      <c r="C37" s="189"/>
      <c r="D37" s="189"/>
      <c r="E37" s="189"/>
      <c r="F37" s="189"/>
      <c r="G37" s="122">
        <v>29</v>
      </c>
      <c r="H37" s="126">
        <v>0</v>
      </c>
      <c r="I37" s="126">
        <v>0</v>
      </c>
    </row>
    <row r="38" spans="1:9" ht="12.75" customHeight="1" x14ac:dyDescent="0.2">
      <c r="A38" s="189" t="s">
        <v>199</v>
      </c>
      <c r="B38" s="189"/>
      <c r="C38" s="189"/>
      <c r="D38" s="189"/>
      <c r="E38" s="189"/>
      <c r="F38" s="189"/>
      <c r="G38" s="122">
        <v>30</v>
      </c>
      <c r="H38" s="126">
        <v>0</v>
      </c>
      <c r="I38" s="126">
        <v>-400000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-52263701</v>
      </c>
      <c r="I41" s="127">
        <f>I36+I37+I38+I39+I40</f>
        <v>-3091227</v>
      </c>
    </row>
    <row r="42" spans="1:9" ht="29.45" customHeight="1" x14ac:dyDescent="0.2">
      <c r="A42" s="252" t="s">
        <v>203</v>
      </c>
      <c r="B42" s="252"/>
      <c r="C42" s="252"/>
      <c r="D42" s="252"/>
      <c r="E42" s="252"/>
      <c r="F42" s="252"/>
      <c r="G42" s="124">
        <v>34</v>
      </c>
      <c r="H42" s="127">
        <f>H35+H41</f>
        <v>-52261701</v>
      </c>
      <c r="I42" s="127">
        <f>I35+I41</f>
        <v>-2547140</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150000000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150000000</v>
      </c>
      <c r="I48" s="127">
        <f>I44+I45+I46+I47</f>
        <v>0</v>
      </c>
    </row>
    <row r="49" spans="1:9" ht="24.6" customHeight="1" x14ac:dyDescent="0.2">
      <c r="A49" s="189" t="s">
        <v>306</v>
      </c>
      <c r="B49" s="189"/>
      <c r="C49" s="189"/>
      <c r="D49" s="189"/>
      <c r="E49" s="189"/>
      <c r="F49" s="189"/>
      <c r="G49" s="122">
        <v>40</v>
      </c>
      <c r="H49" s="126">
        <v>-10500000</v>
      </c>
      <c r="I49" s="126">
        <v>-2270853</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f>-22083523+3436314</f>
        <v>-18647209</v>
      </c>
      <c r="I53" s="126">
        <v>-13043973</v>
      </c>
    </row>
    <row r="54" spans="1:9" ht="30.6" customHeight="1" x14ac:dyDescent="0.2">
      <c r="A54" s="247" t="s">
        <v>214</v>
      </c>
      <c r="B54" s="247"/>
      <c r="C54" s="247"/>
      <c r="D54" s="247"/>
      <c r="E54" s="247"/>
      <c r="F54" s="247"/>
      <c r="G54" s="124">
        <v>45</v>
      </c>
      <c r="H54" s="127">
        <f>H49+H50+H51+H52+H53</f>
        <v>-29147209</v>
      </c>
      <c r="I54" s="127">
        <f>I49+I50+I51+I52+I53</f>
        <v>-15314826</v>
      </c>
    </row>
    <row r="55" spans="1:9" ht="29.45" customHeight="1" x14ac:dyDescent="0.2">
      <c r="A55" s="252" t="s">
        <v>215</v>
      </c>
      <c r="B55" s="252"/>
      <c r="C55" s="252"/>
      <c r="D55" s="252"/>
      <c r="E55" s="252"/>
      <c r="F55" s="252"/>
      <c r="G55" s="124">
        <v>46</v>
      </c>
      <c r="H55" s="127">
        <f>H48+H54</f>
        <v>120852791</v>
      </c>
      <c r="I55" s="127">
        <f>I48+I54</f>
        <v>-15314826</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65434008</v>
      </c>
      <c r="I57" s="127">
        <f>I27+I42+I55+I56</f>
        <v>-91057774</v>
      </c>
    </row>
    <row r="58" spans="1:9" x14ac:dyDescent="0.2">
      <c r="A58" s="253" t="s">
        <v>218</v>
      </c>
      <c r="B58" s="253"/>
      <c r="C58" s="253"/>
      <c r="D58" s="253"/>
      <c r="E58" s="253"/>
      <c r="F58" s="253"/>
      <c r="G58" s="122">
        <v>49</v>
      </c>
      <c r="H58" s="126">
        <v>33748743</v>
      </c>
      <c r="I58" s="126">
        <v>574323784</v>
      </c>
    </row>
    <row r="59" spans="1:9" ht="31.15" customHeight="1" x14ac:dyDescent="0.2">
      <c r="A59" s="252" t="s">
        <v>219</v>
      </c>
      <c r="B59" s="252"/>
      <c r="C59" s="252"/>
      <c r="D59" s="252"/>
      <c r="E59" s="252"/>
      <c r="F59" s="252"/>
      <c r="G59" s="124">
        <v>50</v>
      </c>
      <c r="H59" s="127">
        <f>H57+H58</f>
        <v>99182751</v>
      </c>
      <c r="I59" s="127">
        <f>I57+I58</f>
        <v>483266010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4" zoomScaleNormal="100" zoomScaleSheetLayoutView="110" workbookViewId="0">
      <selection activeCell="M49" sqref="M49"/>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467</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465</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29">
        <v>0</v>
      </c>
      <c r="I14" s="29">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77" zoomScaleNormal="77" zoomScaleSheetLayoutView="90" workbookViewId="0">
      <selection activeCell="I25" sqref="I25"/>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44286</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277879530</v>
      </c>
      <c r="I7" s="41">
        <v>0</v>
      </c>
      <c r="J7" s="41">
        <v>14549784</v>
      </c>
      <c r="K7" s="41">
        <v>0</v>
      </c>
      <c r="L7" s="41">
        <v>2940</v>
      </c>
      <c r="M7" s="41">
        <v>0</v>
      </c>
      <c r="N7" s="41">
        <v>13070428</v>
      </c>
      <c r="O7" s="41">
        <v>0</v>
      </c>
      <c r="P7" s="41">
        <v>-774000</v>
      </c>
      <c r="Q7" s="41">
        <v>-474500</v>
      </c>
      <c r="R7" s="41">
        <v>0</v>
      </c>
      <c r="S7" s="41">
        <v>0</v>
      </c>
      <c r="T7" s="41">
        <v>0</v>
      </c>
      <c r="U7" s="41">
        <v>0</v>
      </c>
      <c r="V7" s="41">
        <v>-79358519</v>
      </c>
      <c r="W7" s="42">
        <f>H7+I7+J7+K7-L7+M7+N7+O7+P7+Q7+R7+U7+V7</f>
        <v>224889783</v>
      </c>
      <c r="X7" s="41">
        <v>0</v>
      </c>
      <c r="Y7" s="42">
        <f>W7+X7</f>
        <v>224889783</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277879530</v>
      </c>
      <c r="I10" s="42">
        <f t="shared" ref="I10:Y10" si="2">I7+I8+I9</f>
        <v>0</v>
      </c>
      <c r="J10" s="42">
        <f t="shared" si="2"/>
        <v>14549784</v>
      </c>
      <c r="K10" s="42">
        <f>K7+K8+K9</f>
        <v>0</v>
      </c>
      <c r="L10" s="42">
        <f t="shared" si="2"/>
        <v>2940</v>
      </c>
      <c r="M10" s="42">
        <f t="shared" si="2"/>
        <v>0</v>
      </c>
      <c r="N10" s="42">
        <f t="shared" si="2"/>
        <v>13070428</v>
      </c>
      <c r="O10" s="42">
        <f t="shared" si="2"/>
        <v>0</v>
      </c>
      <c r="P10" s="42">
        <f t="shared" si="2"/>
        <v>-774000</v>
      </c>
      <c r="Q10" s="42">
        <f t="shared" si="2"/>
        <v>-474500</v>
      </c>
      <c r="R10" s="42">
        <f t="shared" si="2"/>
        <v>0</v>
      </c>
      <c r="S10" s="42">
        <f t="shared" si="2"/>
        <v>0</v>
      </c>
      <c r="T10" s="42">
        <f t="shared" si="2"/>
        <v>0</v>
      </c>
      <c r="U10" s="42">
        <f t="shared" si="2"/>
        <v>0</v>
      </c>
      <c r="V10" s="42">
        <f t="shared" si="2"/>
        <v>-79358519</v>
      </c>
      <c r="W10" s="42">
        <f t="shared" si="2"/>
        <v>224889783</v>
      </c>
      <c r="X10" s="42">
        <f t="shared" si="2"/>
        <v>0</v>
      </c>
      <c r="Y10" s="42">
        <f t="shared" si="2"/>
        <v>224889783</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f>RDG!H62</f>
        <v>-110538791</v>
      </c>
      <c r="W11" s="42">
        <f t="shared" ref="W11:W29" si="3">H11+I11+J11+K11-L11+M11+N11+O11+P11+Q11+R11+U11+V11+S11+T11</f>
        <v>-110538791</v>
      </c>
      <c r="X11" s="41">
        <v>0</v>
      </c>
      <c r="Y11" s="42">
        <f t="shared" ref="Y11:Y29" si="4">W11+X11</f>
        <v>-110538791</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f>RDG!H93</f>
        <v>-222912</v>
      </c>
      <c r="Q14" s="43">
        <v>0</v>
      </c>
      <c r="R14" s="43">
        <v>0</v>
      </c>
      <c r="S14" s="41">
        <v>0</v>
      </c>
      <c r="T14" s="41">
        <v>0</v>
      </c>
      <c r="U14" s="41">
        <v>0</v>
      </c>
      <c r="V14" s="41">
        <v>0</v>
      </c>
      <c r="W14" s="42">
        <f t="shared" si="3"/>
        <v>-222912</v>
      </c>
      <c r="X14" s="41">
        <v>0</v>
      </c>
      <c r="Y14" s="42">
        <f t="shared" si="4"/>
        <v>-222912</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f>RDG!H101</f>
        <v>-1244489</v>
      </c>
      <c r="R15" s="43">
        <v>0</v>
      </c>
      <c r="S15" s="41">
        <v>0</v>
      </c>
      <c r="T15" s="41">
        <v>0</v>
      </c>
      <c r="U15" s="41">
        <v>0</v>
      </c>
      <c r="V15" s="41">
        <v>0</v>
      </c>
      <c r="W15" s="42">
        <f t="shared" si="3"/>
        <v>-1244489</v>
      </c>
      <c r="X15" s="41">
        <v>0</v>
      </c>
      <c r="Y15" s="42">
        <f t="shared" si="4"/>
        <v>-1244489</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-2940</v>
      </c>
      <c r="M19" s="41">
        <v>0</v>
      </c>
      <c r="N19" s="41">
        <v>0</v>
      </c>
      <c r="O19" s="41">
        <v>0</v>
      </c>
      <c r="P19" s="41">
        <v>0</v>
      </c>
      <c r="Q19" s="41">
        <v>0</v>
      </c>
      <c r="R19" s="41">
        <v>0</v>
      </c>
      <c r="S19" s="41">
        <v>0</v>
      </c>
      <c r="T19" s="41">
        <v>0</v>
      </c>
      <c r="U19" s="41">
        <v>0</v>
      </c>
      <c r="V19" s="41">
        <v>0</v>
      </c>
      <c r="W19" s="42">
        <f t="shared" si="3"/>
        <v>2940</v>
      </c>
      <c r="X19" s="41">
        <v>0</v>
      </c>
      <c r="Y19" s="42">
        <f t="shared" si="4"/>
        <v>2940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f>V7</f>
        <v>-79358519</v>
      </c>
      <c r="V28" s="41">
        <v>79358519</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277879530</v>
      </c>
      <c r="I30" s="44">
        <f t="shared" ref="I30:Y30" si="5">SUM(I10:I29)</f>
        <v>0</v>
      </c>
      <c r="J30" s="44">
        <f t="shared" si="5"/>
        <v>14549784</v>
      </c>
      <c r="K30" s="44">
        <f t="shared" si="5"/>
        <v>0</v>
      </c>
      <c r="L30" s="44">
        <f t="shared" si="5"/>
        <v>0</v>
      </c>
      <c r="M30" s="44">
        <f t="shared" si="5"/>
        <v>0</v>
      </c>
      <c r="N30" s="44">
        <f t="shared" si="5"/>
        <v>13070428</v>
      </c>
      <c r="O30" s="44">
        <f t="shared" si="5"/>
        <v>0</v>
      </c>
      <c r="P30" s="44">
        <f t="shared" si="5"/>
        <v>-996912</v>
      </c>
      <c r="Q30" s="44">
        <f t="shared" si="5"/>
        <v>-1718989</v>
      </c>
      <c r="R30" s="44">
        <f t="shared" si="5"/>
        <v>0</v>
      </c>
      <c r="S30" s="44">
        <f t="shared" si="5"/>
        <v>0</v>
      </c>
      <c r="T30" s="44">
        <f t="shared" si="5"/>
        <v>0</v>
      </c>
      <c r="U30" s="44">
        <f t="shared" si="5"/>
        <v>-79358519</v>
      </c>
      <c r="V30" s="44">
        <f t="shared" si="5"/>
        <v>-110538791</v>
      </c>
      <c r="W30" s="44">
        <f t="shared" si="5"/>
        <v>112886531</v>
      </c>
      <c r="X30" s="44">
        <f t="shared" si="5"/>
        <v>0</v>
      </c>
      <c r="Y30" s="44">
        <f t="shared" si="5"/>
        <v>112886531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-2940</v>
      </c>
      <c r="M32" s="42">
        <f t="shared" si="6"/>
        <v>0</v>
      </c>
      <c r="N32" s="42">
        <f t="shared" si="6"/>
        <v>0</v>
      </c>
      <c r="O32" s="42">
        <f t="shared" si="6"/>
        <v>0</v>
      </c>
      <c r="P32" s="42">
        <f t="shared" si="6"/>
        <v>-222912</v>
      </c>
      <c r="Q32" s="42">
        <f t="shared" si="6"/>
        <v>-1244489</v>
      </c>
      <c r="R32" s="42">
        <f t="shared" si="6"/>
        <v>0</v>
      </c>
      <c r="S32" s="42">
        <f t="shared" ref="S32:T32" si="7">SUM(S12:S20)</f>
        <v>0</v>
      </c>
      <c r="T32" s="42">
        <f t="shared" si="7"/>
        <v>0</v>
      </c>
      <c r="U32" s="42">
        <f t="shared" si="6"/>
        <v>0</v>
      </c>
      <c r="V32" s="42">
        <f t="shared" si="6"/>
        <v>0</v>
      </c>
      <c r="W32" s="42">
        <f t="shared" si="6"/>
        <v>-1464461</v>
      </c>
      <c r="X32" s="42">
        <f t="shared" si="6"/>
        <v>0</v>
      </c>
      <c r="Y32" s="42">
        <f t="shared" si="6"/>
        <v>-1464461</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-2940</v>
      </c>
      <c r="M33" s="42">
        <f t="shared" si="8"/>
        <v>0</v>
      </c>
      <c r="N33" s="42">
        <f t="shared" si="8"/>
        <v>0</v>
      </c>
      <c r="O33" s="42">
        <f t="shared" si="8"/>
        <v>0</v>
      </c>
      <c r="P33" s="42">
        <f t="shared" si="8"/>
        <v>-222912</v>
      </c>
      <c r="Q33" s="42">
        <f t="shared" si="8"/>
        <v>-1244489</v>
      </c>
      <c r="R33" s="42">
        <f t="shared" si="8"/>
        <v>0</v>
      </c>
      <c r="S33" s="42">
        <f t="shared" ref="S33:T33" si="9">S11+S32</f>
        <v>0</v>
      </c>
      <c r="T33" s="42">
        <f t="shared" si="9"/>
        <v>0</v>
      </c>
      <c r="U33" s="42">
        <f t="shared" si="8"/>
        <v>0</v>
      </c>
      <c r="V33" s="42">
        <f t="shared" si="8"/>
        <v>-110538791</v>
      </c>
      <c r="W33" s="42">
        <f t="shared" si="8"/>
        <v>-112003252</v>
      </c>
      <c r="X33" s="42">
        <f t="shared" si="8"/>
        <v>0</v>
      </c>
      <c r="Y33" s="42">
        <f t="shared" si="8"/>
        <v>-112003252</v>
      </c>
    </row>
    <row r="34" spans="1:25" ht="30.75" customHeight="1" x14ac:dyDescent="0.2">
      <c r="A34" s="300" t="s">
        <v>428</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-79358519</v>
      </c>
      <c r="V34" s="44">
        <f t="shared" si="10"/>
        <v>79358519</v>
      </c>
      <c r="W34" s="44">
        <f t="shared" si="10"/>
        <v>0</v>
      </c>
      <c r="X34" s="44">
        <f t="shared" si="10"/>
        <v>0</v>
      </c>
      <c r="Y34" s="44">
        <f t="shared" si="10"/>
        <v>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f>H30</f>
        <v>277879530</v>
      </c>
      <c r="I36" s="41">
        <v>350000000</v>
      </c>
      <c r="J36" s="41">
        <v>0</v>
      </c>
      <c r="K36" s="41">
        <f t="shared" ref="K36:T36" si="12">K30</f>
        <v>0</v>
      </c>
      <c r="L36" s="41">
        <f t="shared" si="12"/>
        <v>0</v>
      </c>
      <c r="M36" s="41">
        <f t="shared" si="12"/>
        <v>0</v>
      </c>
      <c r="N36" s="41">
        <v>0</v>
      </c>
      <c r="O36" s="41">
        <f t="shared" si="12"/>
        <v>0</v>
      </c>
      <c r="P36" s="41">
        <v>-975240</v>
      </c>
      <c r="Q36" s="41">
        <v>-1010713</v>
      </c>
      <c r="R36" s="41">
        <f t="shared" si="12"/>
        <v>0</v>
      </c>
      <c r="S36" s="41">
        <f t="shared" si="12"/>
        <v>0</v>
      </c>
      <c r="T36" s="41">
        <f t="shared" si="12"/>
        <v>0</v>
      </c>
      <c r="U36" s="41">
        <v>-51738306</v>
      </c>
      <c r="V36" s="41">
        <v>-358225421</v>
      </c>
      <c r="W36" s="45">
        <f>H36+I36+J36+K36-L36+M36+N36+O36+P36+Q36+R36+U36+V36+S36+T36</f>
        <v>215929850</v>
      </c>
      <c r="X36" s="41">
        <f>X30</f>
        <v>0</v>
      </c>
      <c r="Y36" s="45">
        <f t="shared" ref="Y36:Y38" si="13">W36+X36</f>
        <v>215929850</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79" t="s">
        <v>429</v>
      </c>
      <c r="B39" s="279"/>
      <c r="C39" s="279"/>
      <c r="D39" s="279"/>
      <c r="E39" s="279"/>
      <c r="F39" s="279"/>
      <c r="G39" s="7">
        <v>31</v>
      </c>
      <c r="H39" s="42">
        <f>H36+H37+H38</f>
        <v>277879530</v>
      </c>
      <c r="I39" s="42">
        <f t="shared" ref="I39:Y39" si="15">I36+I37+I38</f>
        <v>350000000</v>
      </c>
      <c r="J39" s="42">
        <f t="shared" si="15"/>
        <v>0</v>
      </c>
      <c r="K39" s="42">
        <f t="shared" si="15"/>
        <v>0</v>
      </c>
      <c r="L39" s="42">
        <f t="shared" si="15"/>
        <v>0</v>
      </c>
      <c r="M39" s="42">
        <f t="shared" si="15"/>
        <v>0</v>
      </c>
      <c r="N39" s="42">
        <f t="shared" si="15"/>
        <v>0</v>
      </c>
      <c r="O39" s="42">
        <f t="shared" si="15"/>
        <v>0</v>
      </c>
      <c r="P39" s="42">
        <f t="shared" si="15"/>
        <v>-975240</v>
      </c>
      <c r="Q39" s="42">
        <f t="shared" si="15"/>
        <v>-1010713</v>
      </c>
      <c r="R39" s="42">
        <f t="shared" si="15"/>
        <v>0</v>
      </c>
      <c r="S39" s="42">
        <f t="shared" si="15"/>
        <v>0</v>
      </c>
      <c r="T39" s="42">
        <f t="shared" si="15"/>
        <v>0</v>
      </c>
      <c r="U39" s="42">
        <f t="shared" si="15"/>
        <v>-51738306</v>
      </c>
      <c r="V39" s="42">
        <f t="shared" si="15"/>
        <v>-358225421</v>
      </c>
      <c r="W39" s="42">
        <f t="shared" si="15"/>
        <v>215929850</v>
      </c>
      <c r="X39" s="42">
        <f t="shared" si="15"/>
        <v>0</v>
      </c>
      <c r="Y39" s="42">
        <f t="shared" si="15"/>
        <v>215929850</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f>RDG!J66</f>
        <v>-96869488</v>
      </c>
      <c r="W40" s="45">
        <f t="shared" ref="W40:W58" si="16">H40+I40+J40+K40-L40+M40+N40+O40+P40+Q40+R40+U40+V40+S40+T40</f>
        <v>-96869488</v>
      </c>
      <c r="X40" s="41">
        <v>0</v>
      </c>
      <c r="Y40" s="45">
        <f t="shared" ref="Y40:Y58" si="17">W40+X40</f>
        <v>-96869488</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f>RDG!J93</f>
        <v>0</v>
      </c>
      <c r="Q43" s="43">
        <v>0</v>
      </c>
      <c r="R43" s="43">
        <v>0</v>
      </c>
      <c r="S43" s="41">
        <v>0</v>
      </c>
      <c r="T43" s="41">
        <v>0</v>
      </c>
      <c r="U43" s="41">
        <v>0</v>
      </c>
      <c r="V43" s="41">
        <v>0</v>
      </c>
      <c r="W43" s="45">
        <f t="shared" si="16"/>
        <v>0</v>
      </c>
      <c r="X43" s="41">
        <v>0</v>
      </c>
      <c r="Y43" s="45">
        <f t="shared" si="17"/>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f>RDG!J101-1</f>
        <v>-151900</v>
      </c>
      <c r="R44" s="43">
        <v>0</v>
      </c>
      <c r="S44" s="41">
        <v>0</v>
      </c>
      <c r="T44" s="41">
        <v>0</v>
      </c>
      <c r="U44" s="41">
        <v>0</v>
      </c>
      <c r="V44" s="41">
        <v>0</v>
      </c>
      <c r="W44" s="45">
        <f t="shared" si="16"/>
        <v>-151900</v>
      </c>
      <c r="X44" s="41">
        <v>0</v>
      </c>
      <c r="Y44" s="45">
        <f t="shared" si="17"/>
        <v>-151900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78" t="s">
        <v>419</v>
      </c>
      <c r="B50" s="278"/>
      <c r="C50" s="278"/>
      <c r="D50" s="278"/>
      <c r="E50" s="278"/>
      <c r="F50" s="278"/>
      <c r="G50" s="6">
        <v>42</v>
      </c>
      <c r="H50" s="41">
        <v>0</v>
      </c>
      <c r="I50" s="41">
        <v>-350000000</v>
      </c>
      <c r="J50" s="41">
        <v>0</v>
      </c>
      <c r="K50" s="41">
        <v>0</v>
      </c>
      <c r="L50" s="41">
        <v>0</v>
      </c>
      <c r="M50" s="41">
        <v>0</v>
      </c>
      <c r="N50" s="41">
        <v>0</v>
      </c>
      <c r="O50" s="41">
        <v>0</v>
      </c>
      <c r="P50" s="41">
        <v>0</v>
      </c>
      <c r="Q50" s="41">
        <v>0</v>
      </c>
      <c r="R50" s="41">
        <v>0</v>
      </c>
      <c r="S50" s="41">
        <v>0</v>
      </c>
      <c r="T50" s="41">
        <v>0</v>
      </c>
      <c r="U50" s="41">
        <v>0</v>
      </c>
      <c r="V50" s="41">
        <v>0</v>
      </c>
      <c r="W50" s="45">
        <f t="shared" si="16"/>
        <v>-350000000</v>
      </c>
      <c r="X50" s="41">
        <v>0</v>
      </c>
      <c r="Y50" s="45">
        <f t="shared" si="17"/>
        <v>-350000000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78" t="s">
        <v>422</v>
      </c>
      <c r="B54" s="278"/>
      <c r="C54" s="278"/>
      <c r="D54" s="278"/>
      <c r="E54" s="278"/>
      <c r="F54" s="278"/>
      <c r="G54" s="6">
        <v>46</v>
      </c>
      <c r="H54" s="41">
        <v>350000000</v>
      </c>
      <c r="I54" s="41">
        <v>0</v>
      </c>
      <c r="J54" s="41">
        <v>0</v>
      </c>
      <c r="K54" s="41">
        <v>0</v>
      </c>
      <c r="L54" s="41">
        <v>0</v>
      </c>
      <c r="M54" s="41">
        <v>0</v>
      </c>
      <c r="N54" s="41">
        <v>0</v>
      </c>
      <c r="O54" s="41">
        <v>0</v>
      </c>
      <c r="P54" s="41">
        <v>0</v>
      </c>
      <c r="Q54" s="41">
        <v>0</v>
      </c>
      <c r="R54" s="41">
        <v>0</v>
      </c>
      <c r="S54" s="41">
        <v>0</v>
      </c>
      <c r="T54" s="41">
        <v>0</v>
      </c>
      <c r="U54" s="41">
        <v>0</v>
      </c>
      <c r="V54" s="41">
        <v>0</v>
      </c>
      <c r="W54" s="45">
        <f t="shared" si="16"/>
        <v>350000000</v>
      </c>
      <c r="X54" s="41">
        <v>0</v>
      </c>
      <c r="Y54" s="45">
        <f t="shared" si="17"/>
        <v>350000000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f>V36</f>
        <v>-358225421</v>
      </c>
      <c r="V57" s="41">
        <f>U57*-1</f>
        <v>358225421</v>
      </c>
      <c r="W57" s="45">
        <f t="shared" si="16"/>
        <v>0</v>
      </c>
      <c r="X57" s="41">
        <v>0</v>
      </c>
      <c r="Y57" s="45">
        <f t="shared" si="17"/>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96" t="s">
        <v>432</v>
      </c>
      <c r="B59" s="296"/>
      <c r="C59" s="296"/>
      <c r="D59" s="296"/>
      <c r="E59" s="296"/>
      <c r="F59" s="296"/>
      <c r="G59" s="8">
        <v>51</v>
      </c>
      <c r="H59" s="44">
        <f>SUM(H39:H58)</f>
        <v>627879530</v>
      </c>
      <c r="I59" s="44">
        <f t="shared" ref="I59:Y59" si="18">SUM(I39:I58)</f>
        <v>0</v>
      </c>
      <c r="J59" s="44">
        <f t="shared" si="18"/>
        <v>0</v>
      </c>
      <c r="K59" s="44">
        <f t="shared" si="18"/>
        <v>0</v>
      </c>
      <c r="L59" s="44">
        <f t="shared" si="18"/>
        <v>0</v>
      </c>
      <c r="M59" s="44">
        <f t="shared" si="18"/>
        <v>0</v>
      </c>
      <c r="N59" s="44">
        <f t="shared" si="18"/>
        <v>0</v>
      </c>
      <c r="O59" s="44">
        <f t="shared" si="18"/>
        <v>0</v>
      </c>
      <c r="P59" s="44">
        <f t="shared" si="18"/>
        <v>-975240</v>
      </c>
      <c r="Q59" s="44">
        <f t="shared" si="18"/>
        <v>-1162613</v>
      </c>
      <c r="R59" s="44">
        <f t="shared" si="18"/>
        <v>0</v>
      </c>
      <c r="S59" s="44">
        <f t="shared" si="18"/>
        <v>0</v>
      </c>
      <c r="T59" s="44">
        <f t="shared" si="18"/>
        <v>0</v>
      </c>
      <c r="U59" s="44">
        <f t="shared" si="18"/>
        <v>-409963727</v>
      </c>
      <c r="V59" s="44">
        <f t="shared" si="18"/>
        <v>-96869488</v>
      </c>
      <c r="W59" s="44">
        <f t="shared" si="18"/>
        <v>118908462</v>
      </c>
      <c r="X59" s="44">
        <f t="shared" si="18"/>
        <v>0</v>
      </c>
      <c r="Y59" s="44">
        <f t="shared" si="18"/>
        <v>118908462</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-151900</v>
      </c>
      <c r="R61" s="45">
        <f t="shared" si="19"/>
        <v>0</v>
      </c>
      <c r="S61" s="45">
        <f t="shared" ref="S61:T61" si="20">SUM(S41:S49)</f>
        <v>0</v>
      </c>
      <c r="T61" s="45">
        <f t="shared" si="20"/>
        <v>0</v>
      </c>
      <c r="U61" s="45">
        <f t="shared" si="19"/>
        <v>0</v>
      </c>
      <c r="V61" s="45">
        <f t="shared" si="19"/>
        <v>0</v>
      </c>
      <c r="W61" s="45">
        <f t="shared" si="19"/>
        <v>-151900</v>
      </c>
      <c r="X61" s="45">
        <f t="shared" si="19"/>
        <v>0</v>
      </c>
      <c r="Y61" s="45">
        <f t="shared" si="19"/>
        <v>-151900</v>
      </c>
    </row>
    <row r="62" spans="1:25" ht="27.75" customHeight="1" x14ac:dyDescent="0.2">
      <c r="A62" s="299" t="s">
        <v>434</v>
      </c>
      <c r="B62" s="299"/>
      <c r="C62" s="299"/>
      <c r="D62" s="299"/>
      <c r="E62" s="299"/>
      <c r="F62" s="299"/>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-151900</v>
      </c>
      <c r="R62" s="45">
        <f t="shared" si="21"/>
        <v>0</v>
      </c>
      <c r="S62" s="45">
        <f t="shared" ref="S62:T62" si="22">S40+S61</f>
        <v>0</v>
      </c>
      <c r="T62" s="45">
        <f t="shared" si="22"/>
        <v>0</v>
      </c>
      <c r="U62" s="45">
        <f t="shared" si="21"/>
        <v>0</v>
      </c>
      <c r="V62" s="45">
        <f t="shared" si="21"/>
        <v>-96869488</v>
      </c>
      <c r="W62" s="45">
        <f t="shared" si="21"/>
        <v>-97021388</v>
      </c>
      <c r="X62" s="45">
        <f t="shared" si="21"/>
        <v>0</v>
      </c>
      <c r="Y62" s="45">
        <f t="shared" si="21"/>
        <v>-97021388</v>
      </c>
    </row>
    <row r="63" spans="1:25" ht="29.25" customHeight="1" x14ac:dyDescent="0.2">
      <c r="A63" s="300" t="s">
        <v>435</v>
      </c>
      <c r="B63" s="300"/>
      <c r="C63" s="300"/>
      <c r="D63" s="300"/>
      <c r="E63" s="300"/>
      <c r="F63" s="300"/>
      <c r="G63" s="8">
        <v>54</v>
      </c>
      <c r="H63" s="46">
        <f>SUM(H50:H58)</f>
        <v>350000000</v>
      </c>
      <c r="I63" s="46">
        <f t="shared" ref="I63:Y63" si="23">SUM(I50:I58)</f>
        <v>-350000000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-358225421</v>
      </c>
      <c r="V63" s="46">
        <f t="shared" si="23"/>
        <v>358225421</v>
      </c>
      <c r="W63" s="46">
        <f t="shared" si="23"/>
        <v>0</v>
      </c>
      <c r="X63" s="46">
        <f t="shared" si="23"/>
        <v>0</v>
      </c>
      <c r="Y63" s="46">
        <f t="shared" si="23"/>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4803149606299213" right="0.74803149606299213" top="0.98425196850393704" bottom="0.98425196850393704" header="0.51181102362204722" footer="0.51181102362204722"/>
  <pageSetup paperSize="8" scale="5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29.7109375" customWidth="1"/>
  </cols>
  <sheetData>
    <row r="1" spans="1:9"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2090b57c-2e4d-4ed9-b313-510fc704fe75"/>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2021-04-30T06:28:01Z</cp:lastPrinted>
  <dcterms:created xsi:type="dcterms:W3CDTF">2008-10-17T11:51:54Z</dcterms:created>
  <dcterms:modified xsi:type="dcterms:W3CDTF">2021-04-30T12:01:43Z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