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1 Javna objava ZTK\2021-09-30 Javna objava ZTK\"/>
    </mc:Choice>
  </mc:AlternateContent>
  <xr:revisionPtr revIDLastSave="0" documentId="13_ncr:1_{138A41AE-CEAA-4FE9-B5A1-8ECB12C55CA3}" xr6:coauthVersionLast="47" xr6:coauthVersionMax="47" xr10:uidLastSave="{00000000-0000-0000-0000-000000000000}"/>
  <bookViews>
    <workbookView xWindow="1635" yWindow="0" windowWidth="18690" windowHeight="1485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4" i="22" l="1"/>
  <c r="K55" i="26" l="1"/>
  <c r="K52" i="26"/>
  <c r="K51" i="26"/>
  <c r="K49" i="26"/>
  <c r="K45" i="26"/>
  <c r="K44" i="26"/>
  <c r="K36" i="26"/>
  <c r="K25" i="26"/>
  <c r="K24" i="26"/>
  <c r="K23" i="26"/>
  <c r="K22" i="26"/>
  <c r="K21" i="26"/>
  <c r="K19" i="26"/>
  <c r="K17" i="26"/>
  <c r="K13" i="26"/>
  <c r="K10" i="26"/>
  <c r="K101" i="26" l="1"/>
  <c r="K100" i="26"/>
  <c r="C29" i="25" l="1"/>
  <c r="I47" i="26"/>
  <c r="I46" i="26"/>
  <c r="I18" i="26"/>
  <c r="P14" i="22" l="1"/>
  <c r="P43" i="22"/>
  <c r="Q15" i="22" l="1"/>
  <c r="K77" i="26"/>
  <c r="K75" i="26" s="1"/>
  <c r="K74" i="26" s="1"/>
  <c r="J77" i="26"/>
  <c r="J75" i="26" s="1"/>
  <c r="J74" i="26" s="1"/>
  <c r="K50" i="26"/>
  <c r="K53" i="26"/>
  <c r="K54" i="26"/>
  <c r="K46" i="26"/>
  <c r="K47" i="26"/>
  <c r="K18" i="26"/>
  <c r="K11" i="26"/>
  <c r="K12" i="26"/>
  <c r="K9" i="26"/>
  <c r="J98" i="26"/>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63" i="26"/>
  <c r="I64" i="26"/>
  <c r="I62" i="26"/>
  <c r="I67" i="26" s="1"/>
  <c r="H64" i="26"/>
  <c r="I51" i="21"/>
  <c r="I53" i="21" s="1"/>
  <c r="H51" i="21"/>
  <c r="H53" i="21" s="1"/>
  <c r="J66" i="26" l="1"/>
  <c r="J67" i="26"/>
  <c r="K68" i="26"/>
  <c r="K66" i="26"/>
  <c r="H67" i="26"/>
  <c r="H66" i="26"/>
  <c r="I68" i="26"/>
  <c r="I66" i="26"/>
  <c r="I109" i="26" s="1"/>
  <c r="I112" i="26" s="1"/>
  <c r="I111" i="26" s="1"/>
  <c r="I85" i="18"/>
  <c r="H85" i="18"/>
  <c r="V11" i="22" l="1"/>
  <c r="W11" i="22" s="1"/>
  <c r="H109" i="26"/>
  <c r="H112" i="26" s="1"/>
  <c r="H111" i="26" s="1"/>
  <c r="J86" i="26"/>
  <c r="V40" i="22"/>
  <c r="W40" i="22" s="1"/>
  <c r="I78" i="18"/>
  <c r="H78" i="18"/>
  <c r="J85" i="26" l="1"/>
  <c r="J89" i="26" s="1"/>
  <c r="J109" i="26" s="1"/>
  <c r="J112" i="26" s="1"/>
  <c r="J111" i="26" s="1"/>
  <c r="K86" i="26"/>
  <c r="K85" i="26" s="1"/>
  <c r="K89" i="26" s="1"/>
  <c r="K109" i="26" s="1"/>
  <c r="K112" i="26" s="1"/>
  <c r="K111" i="26" s="1"/>
  <c r="I85" i="26"/>
  <c r="H85"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<sst xmlns="http://schemas.openxmlformats.org/spreadsheetml/2006/main" count="539" uniqueCount="474">
  <si>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</si>
  <si>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</si>
  <si>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</si>
  <si>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</si>
  <si>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</si>
  <si>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</si>
  <si>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</si>
  <si>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</si>
  <si>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</si>
  <si>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</si>
  <si>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</si>
  <si>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</si>
  <si>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</si>
  <si>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</si>
  <si>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</si>
  <si>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</si>
  <si>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</si>
  <si>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</si>
  <si>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</si>
  <si>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</si>
  <si>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</si>
  <si>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</si>
  <si>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</si>
  <si>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</si>
  <si>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</si>
  <si>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</si>
  <si>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</si>
  <si>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</si>
  <si>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</si>
  <si>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</si>
  <si>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</si>
  <si>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</si>
  <si>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</si>
  <si>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</si>
  <si>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</si>
  <si>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</si>
  <si>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</si>
  <si>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</si>
  <si>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</si>
  <si>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</si>
  <si>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</si>
  <si>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</si>
  <si>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</si>
  <si>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</si>
  <si>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</si>
  <si>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</si>
  <si>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</si>
  <si>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</si>
  <si>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</si>
  <si>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</si>
  <si>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</si>
  <si>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</si>
  <si>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</si>
  <si>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</si>
  <si>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</si>
  <si>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</si>
  <si>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</si>
  <si>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</si>
  <si>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</si>
  <si>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</si>
  <si>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</si>
  <si>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</si>
  <si>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</si>
  <si>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</si>
  <si>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</si>
  <si>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</si>
  <si>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</si>
  <si>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</si>
  <si>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</si>
  <si>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</si>
  <si>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</si>
  <si>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</si>
  <si>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</si>
  <si>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</si>
  <si>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</si>
  <si>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</si>
  <si>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</si>
  <si>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</si>
  <si>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</si>
  <si>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</si>
  <si>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</si>
  <si>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</si>
  <si>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</si>
  <si>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</si>
  <si>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</si>
  <si>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</si>
  <si>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</si>
  <si>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</si>
  <si>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</si>
  <si>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</si>
  <si>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</si>
  <si>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</si>
  <si>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</si>
  <si>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</si>
  <si>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</si>
  <si>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</si>
  <si>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</si>
  <si>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</si>
  <si>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</si>
  <si>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</si>
  <si>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</si>
  <si>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</si>
  <si>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</si>
  <si>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</si>
  <si>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</si>
  <si>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</si>
  <si>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</si>
  <si>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</si>
  <si>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</si>
  <si>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</si>
  <si>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</si>
  <si>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</si>
  <si>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</si>
  <si>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</si>
  <si>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</si>
  <si>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</si>
  <si>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</si>
  <si>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</si>
  <si>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</si>
  <si>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</si>
  <si>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</si>
  <si>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</si>
  <si>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</si>
  <si>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</si>
  <si>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</si>
  <si>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</si>
  <si>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</si>
  <si>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</si>
  <si>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</si>
  <si>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</si>
  <si>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</si>
  <si>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</si>
  <si>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</si>
  <si>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</si>
  <si>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</si>
  <si>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</si>
  <si>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</si>
  <si>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</si>
  <si>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</si>
  <si>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</si>
  <si>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</si>
  <si>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</si>
  <si>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</si>
  <si>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</si>
  <si>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</si>
  <si>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</si>
  <si>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</si>
  <si>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</si>
  <si>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</si>
  <si>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</si>
  <si>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</si>
  <si>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</si>
  <si>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</si>
  <si>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</si>
  <si>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</si>
  <si>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</si>
  <si>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</si>
  <si>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</si>
  <si>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</si>
  <si>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</si>
  <si>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</si>
  <si>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</si>
  <si>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</si>
  <si>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</si>
  <si>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</si>
  <si>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</si>
  <si>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</si>
  <si>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</si>
  <si>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</si>
  <si>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</si>
  <si>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</si>
  <si>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</si>
  <si>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</si>
  <si>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</si>
  <si>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</si>
  <si>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</si>
  <si>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</si>
  <si>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</si>
  <si>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</si>
  <si>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</si>
  <si>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</si>
  <si>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</si>
  <si>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</si>
  <si>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</si>
  <si>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</si>
  <si>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</si>
  <si>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</si>
  <si>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</si>
  <si>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</si>
  <si>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</si>
  <si>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</si>
  <si>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</si>
  <si>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</si>
  <si>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</si>
  <si>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</si>
  <si>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</si>
  <si>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</si>
  <si>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</si>
  <si>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</si>
  <si>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</si>
  <si>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</si>
  <si>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</si>
  <si>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</si>
  <si>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</si>
  <si>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</si>
  <si>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</si>
  <si>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</si>
  <si>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</si>
  <si>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</si>
  <si>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</si>
  <si>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</si>
  <si>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</si>
  <si>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</si>
  <si>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</si>
  <si>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</si>
  <si>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</si>
  <si>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</si>
  <si>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</si>
  <si>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</si>
  <si>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</si>
  <si>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</si>
  <si>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</si>
  <si>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</si>
  <si>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</si>
  <si>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</si>
  <si>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</si>
  <si>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</si>
  <si>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</si>
  <si>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</si>
  <si>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</si>
  <si>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</si>
  <si>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</si>
  <si>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</si>
  <si>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</si>
  <si>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</si>
  <si>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</si>
  <si>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</si>
  <si>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</si>
  <si>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</si>
  <si>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</si>
  <si>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</si>
  <si>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</si>
  <si>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</si>
  <si>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</si>
  <si>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</si>
  <si>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</si>
  <si>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</si>
  <si>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</si>
  <si>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</si>
  <si>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</si>
  <si>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</si>
  <si>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</si>
  <si>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</si>
  <si>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</si>
  <si>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</si>
  <si>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</si>
  <si>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</si>
  <si>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</si>
  <si>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</si>
  <si>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</si>
  <si>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</si>
  <si>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</si>
  <si>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</si>
  <si>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</si>
  <si>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</si>
  <si>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</si>
  <si>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</si>
  <si>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</si>
  <si>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</si>
  <si>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</si>
  <si>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</si>
  <si>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</si>
  <si>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</si>
  <si>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</si>
  <si>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</si>
  <si>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</si>
  <si>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</si>
  <si>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</si>
  <si>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</si>
  <si>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</si>
  <si>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</si>
  <si>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</si>
  <si>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</si>
  <si>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</si>
  <si>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</si>
  <si>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</si>
  <si>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</si>
  <si>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</si>
  <si>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</si>
  <si>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</si>
  <si>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</si>
  <si>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</si>
  <si>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</si>
  <si>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</si>
  <si>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</si>
  <si>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</si>
  <si>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</si>
  <si>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</si>
  <si>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</si>
  <si>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</si>
  <si>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</si>
  <si>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</si>
  <si>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</si>
  <si>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</si>
  <si>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</si>
  <si>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</si>
  <si>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</si>
  <si>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</si>
  <si>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</si>
  <si>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</si>
  <si>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</si>
  <si>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</si>
  <si>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</si>
  <si>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</si>
  <si>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</si>
  <si>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</si>
  <si>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</si>
  <si>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</si>
  <si>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</si>
  <si>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</si>
  <si>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</si>
  <si>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</si>
  <si>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</si>
  <si>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</si>
  <si>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</si>
  <si>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</si>
  <si>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</si>
  <si>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</si>
  <si>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</si>
  <si>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</si>
  <si>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</si>
  <si>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</si>
  <si>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</si>
  <si>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</si>
  <si>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</si>
  <si>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</si>
  <si>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</si>
  <si>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</si>
  <si>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</si>
  <si>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</si>
  <si>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</si>
  <si>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</si>
  <si>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</si>
  <si>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</si>
  <si>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</si>
  <si>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</si>
  <si>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</si>
  <si>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</si>
  <si>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</si>
  <si>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</si>
  <si>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</si>
  <si>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</si>
  <si>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</si>
  <si>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</si>
  <si>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</si>
  <si>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</si>
  <si>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</si>
  <si>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</si>
  <si>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</si>
  <si>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</si>
  <si>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</si>
  <si>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</si>
  <si>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</si>
  <si>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</si>
  <si>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</si>
  <si>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</si>
  <si>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</si>
  <si>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</si>
  <si>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</si>
  <si>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</si>
  <si>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</si>
  <si>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</si>
  <si>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</si>
  <si>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</si>
  <si>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</si>
  <si>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</si>
  <si>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</si>
  <si>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</si>
  <si>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</si>
  <si>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</si>
  <si>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</si>
  <si>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</si>
  <si>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</si>
  <si>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</si>
  <si>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</si>
  <si>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</si>
  <si>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</si>
  <si>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</si>
  <si>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</si>
  <si>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</si>
  <si>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</si>
  <si>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</si>
  <si>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</si>
  <si>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</si>
  <si>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</si>
  <si>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</si>
  <si>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</si>
  <si>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</si>
  <si>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</si>
  <si>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</si>
  <si>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</si>
  <si>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</si>
  <si>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</si>
  <si>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</si>
  <si>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</si>
  <si>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</si>
  <si>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</si>
  <si>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</si>
  <si>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</si>
  <si>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</si>
  <si>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</si>
  <si>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</si>
  <si>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</si>
  <si>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</si>
  <si>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</si>
  <si>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</si>
  <si>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</si>
  <si>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</si>
  <si>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</si>
  <si>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</si>
  <si>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</si>
  <si>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</si>
  <si>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</si>
  <si>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</si>
  <si>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</si>
  <si>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</si>
  <si>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</si>
  <si>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</si>
  <si>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</si>
  <si>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</si>
  <si>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</si>
  <si>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</si>
  <si>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</si>
  <si>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</si>
  <si>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</si>
  <si>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</si>
  <si>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</si>
  <si>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</si>
  <si>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</si>
  <si>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</si>
  <si>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</si>
  <si>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</si>
  <si>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</si>
  <si>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</si>
  <si>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</si>
  <si>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</si>
  <si>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</si>
  <si>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</si>
  <si>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</si>
  <si>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</si>
  <si>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</si>
  <si>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</si>
  <si>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</si>
  <si>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</si>
  <si>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</si>
  <si>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</si>
  <si>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</si>
  <si>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</si>
  <si>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</si>
  <si>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</si>
  <si>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</si>
  <si>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</si>
  <si>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</si>
  <si>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</si>
  <si>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Obveznik: CROATIA AIRLINES GRUPA</t>
  </si>
  <si>
    <t>AMADEUS CROATIA D.D.</t>
  </si>
  <si>
    <t>OBZOR PUTOVANJA D.O.O.</t>
  </si>
  <si>
    <t>Buzin, Bani 75B</t>
  </si>
  <si>
    <t>u razdoblju 1.1.2021. do 30.6.2021.</t>
  </si>
  <si>
    <t xml:space="preserve">stanje na dan 30.9.2021. </t>
  </si>
  <si>
    <t>u razdoblju 1.1.2021 do 30.9.2021.</t>
  </si>
  <si>
    <t>u razdoblju 1.1.2021. do 30.9.2021.</t>
  </si>
  <si>
    <t>Zagreb, Božidara Adžije 19</t>
  </si>
  <si>
    <t xml:space="preserve">BILJEŠKE UZ FINANCIJSKE IZVJEŠTAJE - TFI
(koji se sastavljaju za tromjesečna razdoblja)
Naziv izdavatelja:  CROATIA AIRLINES D.D.
OIB:   24640993045
Croatia Airlines u vrijeme najveće krize izazvane pandemijom virusa COVID-19 u 2020. godini, nije prestao s letenjem već je nastavio povezivati Hrvatsku sa svijetom, a svoju misiju je nastavio i u 2021. godini postepenim vraćanjem linija u prometovanje i povećavanjem broja frekvencija u skladu s potražnjom i epidemiološkim mjerama pojedinih zemalja.
Tijekom čitavog razdoblja Covid krize Croatia Airlines i dalje kontinuirano prilagođava ponudu letova na bazi svakodnevnog praćenja epidemiološke situacije i konkretne potražnje na pojedinim tržištima u skladu s čime se provodi i optimizacija reda letenja, i u smislu frekvencija i u smislu kapaciteta zrakoplova. Iako su očekivanja kompanije vezana uz normalizaciju i ponovno uspostavljanje prometa bila znatno veća, trenutni pogled prema zimskom redu letenja upućuje na nešto manju produkciju u odnosu na ljeto, ali je ipak optimističan u odnosu na prošlu zimu, s većom ponudom letova i sjedala.
U ljetnoj sezoni obavljali su se letovi iz Zagreba u 14 europskih odredišta, splitska zračna luka bila je povezana s 12 inozemnih odredišta, a Dubrovnik sa šest međunarodnih odredišta. Krajem svibnja uvedena je nova sezonska linija Split – Prag, a ponovno je uspostavljena i sezonska linija Rijeka – München. Kako bi se osigurala povezanost i snažno podržao turistički proizvod Republike Hrvatske, Croatia Airlines je tijekom ljetne sezone na letovima iz europskih odredišta prema Hrvatskoj ponudio više od 80.000 sjedala mjesečno. Osim širenja međunarodne mreže letova, Croatia Airlines nastavlja osiguravati i zračnu povezanost hrvatskih gradova i regija svojim letovima u domaćem redovitom prometu između zračnih luka Zagreb, Split, Dubrovnik, Osijek, Zadar, Pula i Brač. 
Iako je u trećem kvartalu zabilježeno povećanje prometa što je i očekivano s obzirom na ljetnu sezonu i otvaranja država za turistička putovanja, utjecaj pandemije na poslovanje i dalje je ključan. Povećana je razina potražnje za uslugama zračnog prijevoza u odnosu na isto razdoblje prethodne godine, no i dalje se zadržava na znatno nižim razinama u odnosu na pretkriznu 2019. godinu. 
U razdoblju od siječnja do rujna 2021. godine nalet Croatia Airlinesa izražen u blok satima i broju letova povećan je za 11 posto u odnosu na isto razdoblje prethodne godine, zabilježeno je 11.728 letova i 15.882 blok sati. Ukupno je prevezeno 556.499 putnika, što je 4 posto više u odnosu na isto prošlogodišnje razdoblje. Ostvareni putnički kilometri povećani su za 6 posto, a putnički faktor popunjenosti (PLF) iznosio je 50,7 posto što je na razini istog razdoblja 2020. godine. 
U nastalim tržišnim okolnostima u prvih devet mjeseci 2021. godine Grupa je ostvaril operativni gubitak u visini od 147 milijuna kn koji s neto rezultatom financiranja daje neto gubitak od 167 milijuna kn te je primjetan pozitivan pomak za 76,6 milijuna kn u odnosu na isto razdoblje prethodne godine.
Iako su u drugom i trećem kvartalu ostvareni određeni pozitivni pomaci, kompanija se i dalje suočava sa smanjenom potražnjom i prodajom karata te posljedično niskom razinom priljeva što u narednom razdoblju može ponovno potaknuti pitanje očuvanja likvidnosti, posebice kada se uzme u obzir nepredvidivost vremenskog trajanja krize. Kompanija poduzima sve mjere aktivnog upravljanja likvidnošću i optimizacijom poslovanja te nastavlja s daljnjom primjenom rigoroznih mjera štednje.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godini.U procesu oporavka od krize uzrokovane bolešću COVID-19 Croatia Airlines je u drugom i trećem kvartalu u suradnji s Boston Consulting Group (BCG), vodećom međunarodnom tvrtkom za strateško savjetovanje, radio na izradi Post Covid strategije s ciljem definiranja strateških inicijativa čija će implementacija trajati naredne tri godine i treba omogućiti održivo poslovanje kompanije u budućnosti.
Ostale bilješke sastavni su dio Izvješća poslovodstva o stanju Društva za I.-IX. 2021.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</si>
</sst>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N34" sqref="N3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3" t="s">
        <v>308</v>
      </c>
      <c r="B1" s="184"/>
      <c r="C1" s="184"/>
      <c r="D1" s="47"/>
      <c r="E1" s="47"/>
      <c r="F1" s="47"/>
      <c r="G1" s="47"/>
      <c r="H1" s="47"/>
      <c r="I1" s="47"/>
      <c r="J1" s="48"/>
    </row>
    <row r="2" spans="1:20" ht="14.45" customHeight="1" x14ac:dyDescent="0.25">
      <c r="A2" s="185" t="s">
        <v>324</v>
      </c>
      <c r="B2" s="186"/>
      <c r="C2" s="186"/>
      <c r="D2" s="186"/>
      <c r="E2" s="186"/>
      <c r="F2" s="186"/>
      <c r="G2" s="186"/>
      <c r="H2" s="186"/>
      <c r="I2" s="186"/>
      <c r="J2" s="187"/>
      <c r="N2" s="97">
        <v>1</v>
      </c>
    </row>
    <row r="3" spans="1:20" x14ac:dyDescent="0.25">
      <c r="A3" s="50"/>
      <c r="B3" s="51"/>
      <c r="C3" s="51"/>
      <c r="D3" s="51"/>
      <c r="E3" s="51"/>
      <c r="F3" s="51"/>
      <c r="G3" s="51"/>
      <c r="H3" s="51"/>
      <c r="I3" s="51"/>
      <c r="J3" s="52"/>
      <c r="N3" s="97">
        <v>2</v>
      </c>
    </row>
    <row r="4" spans="1:20" ht="33.6" customHeight="1" x14ac:dyDescent="0.25">
      <c r="A4" s="188" t="s">
        <v>309</v>
      </c>
      <c r="B4" s="189"/>
      <c r="C4" s="189"/>
      <c r="D4" s="189"/>
      <c r="E4" s="190" t="s">
        <v>447</v>
      </c>
      <c r="F4" s="191"/>
      <c r="G4" s="53" t="s">
        <v>0</v>
      </c>
      <c r="H4" s="190">
        <v>44469</v>
      </c>
      <c r="I4" s="191"/>
      <c r="J4" s="54"/>
      <c r="N4" s="97">
        <v>3</v>
      </c>
    </row>
    <row r="5" spans="1:20" s="55" customFormat="1" ht="10.15" customHeight="1" x14ac:dyDescent="0.25">
      <c r="A5" s="192"/>
      <c r="B5" s="193"/>
      <c r="C5" s="193"/>
      <c r="D5" s="193"/>
      <c r="E5" s="193"/>
      <c r="F5" s="193"/>
      <c r="G5" s="193"/>
      <c r="H5" s="193"/>
      <c r="I5" s="193"/>
      <c r="J5" s="194"/>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9" t="s">
        <v>331</v>
      </c>
      <c r="B10" s="180"/>
      <c r="C10" s="180"/>
      <c r="D10" s="180"/>
      <c r="E10" s="180"/>
      <c r="F10" s="180"/>
      <c r="G10" s="180"/>
      <c r="H10" s="180"/>
      <c r="I10" s="180"/>
      <c r="J10" s="66"/>
    </row>
    <row r="11" spans="1:20" ht="24.6" customHeight="1" x14ac:dyDescent="0.25">
      <c r="A11" s="167" t="s">
        <v>310</v>
      </c>
      <c r="B11" s="181"/>
      <c r="C11" s="173" t="s">
        <v>448</v>
      </c>
      <c r="D11" s="174"/>
      <c r="E11" s="67"/>
      <c r="F11" s="135" t="s">
        <v>332</v>
      </c>
      <c r="G11" s="177"/>
      <c r="H11" s="151" t="s">
        <v>449</v>
      </c>
      <c r="I11" s="152"/>
      <c r="J11" s="68"/>
    </row>
    <row r="12" spans="1:20" ht="14.45" customHeight="1" x14ac:dyDescent="0.25">
      <c r="A12" s="69"/>
      <c r="B12" s="70"/>
      <c r="C12" s="70"/>
      <c r="D12" s="70"/>
      <c r="E12" s="182"/>
      <c r="F12" s="182"/>
      <c r="G12" s="182"/>
      <c r="H12" s="182"/>
      <c r="I12" s="71"/>
      <c r="J12" s="68"/>
    </row>
    <row r="13" spans="1:20" ht="21" customHeight="1" x14ac:dyDescent="0.25">
      <c r="A13" s="134" t="s">
        <v>325</v>
      </c>
      <c r="B13" s="177"/>
      <c r="C13" s="173" t="s">
        <v>450</v>
      </c>
      <c r="D13" s="174"/>
      <c r="E13" s="195"/>
      <c r="F13" s="182"/>
      <c r="G13" s="182"/>
      <c r="H13" s="182"/>
      <c r="I13" s="71"/>
      <c r="J13" s="68"/>
    </row>
    <row r="14" spans="1:20" ht="10.9" customHeight="1" x14ac:dyDescent="0.25">
      <c r="A14" s="67"/>
      <c r="B14" s="71"/>
      <c r="C14" s="70"/>
      <c r="D14" s="70"/>
      <c r="E14" s="141"/>
      <c r="F14" s="141"/>
      <c r="G14" s="141"/>
      <c r="H14" s="141"/>
      <c r="I14" s="70"/>
      <c r="J14" s="72"/>
    </row>
    <row r="15" spans="1:20" ht="22.9" customHeight="1" x14ac:dyDescent="0.25">
      <c r="A15" s="134" t="s">
        <v>311</v>
      </c>
      <c r="B15" s="177"/>
      <c r="C15" s="173" t="s">
        <v>451</v>
      </c>
      <c r="D15" s="174"/>
      <c r="E15" s="178"/>
      <c r="F15" s="169"/>
      <c r="G15" s="73" t="s">
        <v>333</v>
      </c>
      <c r="H15" s="151" t="s">
        <v>452</v>
      </c>
      <c r="I15" s="152"/>
      <c r="J15" s="74"/>
    </row>
    <row r="16" spans="1:20" ht="10.9" customHeight="1" x14ac:dyDescent="0.25">
      <c r="A16" s="67"/>
      <c r="B16" s="71"/>
      <c r="C16" s="70"/>
      <c r="D16" s="70"/>
      <c r="E16" s="141"/>
      <c r="F16" s="141"/>
      <c r="G16" s="141"/>
      <c r="H16" s="141"/>
      <c r="I16" s="70"/>
      <c r="J16" s="72"/>
    </row>
    <row r="17" spans="1:10" ht="22.9" customHeight="1" x14ac:dyDescent="0.25">
      <c r="A17" s="75"/>
      <c r="B17" s="73" t="s">
        <v>334</v>
      </c>
      <c r="C17" s="173" t="s">
        <v>453</v>
      </c>
      <c r="D17" s="174"/>
      <c r="E17" s="76"/>
      <c r="F17" s="76"/>
      <c r="G17" s="76"/>
      <c r="H17" s="76"/>
      <c r="I17" s="76"/>
      <c r="J17" s="74"/>
    </row>
    <row r="18" spans="1:10" x14ac:dyDescent="0.25">
      <c r="A18" s="175"/>
      <c r="B18" s="176"/>
      <c r="C18" s="141"/>
      <c r="D18" s="141"/>
      <c r="E18" s="141"/>
      <c r="F18" s="141"/>
      <c r="G18" s="141"/>
      <c r="H18" s="141"/>
      <c r="I18" s="70"/>
      <c r="J18" s="72"/>
    </row>
    <row r="19" spans="1:10" x14ac:dyDescent="0.25">
      <c r="A19" s="167" t="s">
        <v>312</v>
      </c>
      <c r="B19" s="168"/>
      <c r="C19" s="142" t="s">
        <v>454</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7" t="s">
        <v>313</v>
      </c>
      <c r="B21" s="168"/>
      <c r="C21" s="151">
        <v>10010</v>
      </c>
      <c r="D21" s="152"/>
      <c r="E21" s="141"/>
      <c r="F21" s="141"/>
      <c r="G21" s="142" t="s">
        <v>455</v>
      </c>
      <c r="H21" s="143"/>
      <c r="I21" s="143"/>
      <c r="J21" s="144"/>
    </row>
    <row r="22" spans="1:10" x14ac:dyDescent="0.25">
      <c r="A22" s="69"/>
      <c r="B22" s="70"/>
      <c r="C22" s="70"/>
      <c r="D22" s="70"/>
      <c r="E22" s="141"/>
      <c r="F22" s="141"/>
      <c r="G22" s="141"/>
      <c r="H22" s="141"/>
      <c r="I22" s="70"/>
      <c r="J22" s="72"/>
    </row>
    <row r="23" spans="1:10" x14ac:dyDescent="0.25">
      <c r="A23" s="167" t="s">
        <v>314</v>
      </c>
      <c r="B23" s="168"/>
      <c r="C23" s="142" t="s">
        <v>456</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7" t="s">
        <v>315</v>
      </c>
      <c r="B25" s="168"/>
      <c r="C25" s="170" t="s">
        <v>457</v>
      </c>
      <c r="D25" s="171"/>
      <c r="E25" s="171"/>
      <c r="F25" s="171"/>
      <c r="G25" s="171"/>
      <c r="H25" s="171"/>
      <c r="I25" s="171"/>
      <c r="J25" s="172"/>
    </row>
    <row r="26" spans="1:10" x14ac:dyDescent="0.25">
      <c r="A26" s="69"/>
      <c r="B26" s="70"/>
      <c r="C26" s="77"/>
      <c r="D26" s="70"/>
      <c r="E26" s="141"/>
      <c r="F26" s="141"/>
      <c r="G26" s="141"/>
      <c r="H26" s="141"/>
      <c r="I26" s="70"/>
      <c r="J26" s="72"/>
    </row>
    <row r="27" spans="1:10" x14ac:dyDescent="0.25">
      <c r="A27" s="167" t="s">
        <v>316</v>
      </c>
      <c r="B27" s="168"/>
      <c r="C27" s="170" t="s">
        <v>458</v>
      </c>
      <c r="D27" s="171"/>
      <c r="E27" s="171"/>
      <c r="F27" s="171"/>
      <c r="G27" s="171"/>
      <c r="H27" s="171"/>
      <c r="I27" s="171"/>
      <c r="J27" s="172"/>
    </row>
    <row r="28" spans="1:10" ht="13.9" customHeight="1" x14ac:dyDescent="0.25">
      <c r="A28" s="69"/>
      <c r="B28" s="70"/>
      <c r="C28" s="77"/>
      <c r="D28" s="70"/>
      <c r="E28" s="141"/>
      <c r="F28" s="141"/>
      <c r="G28" s="141"/>
      <c r="H28" s="141"/>
      <c r="I28" s="70"/>
      <c r="J28" s="72"/>
    </row>
    <row r="29" spans="1:10" ht="22.9" customHeight="1" x14ac:dyDescent="0.25">
      <c r="A29" s="134" t="s">
        <v>326</v>
      </c>
      <c r="B29" s="168"/>
      <c r="C29" s="94">
        <f>934+8+18</f>
        <v>960</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7" t="s">
        <v>317</v>
      </c>
      <c r="B31" s="168"/>
      <c r="C31" s="94" t="s">
        <v>337</v>
      </c>
      <c r="D31" s="166" t="s">
        <v>335</v>
      </c>
      <c r="E31" s="149"/>
      <c r="F31" s="149"/>
      <c r="G31" s="149"/>
      <c r="H31" s="82"/>
      <c r="I31" s="83" t="s">
        <v>336</v>
      </c>
      <c r="J31" s="84" t="s">
        <v>337</v>
      </c>
    </row>
    <row r="32" spans="1:10" x14ac:dyDescent="0.25">
      <c r="A32" s="167"/>
      <c r="B32" s="168"/>
      <c r="C32" s="85"/>
      <c r="D32" s="53"/>
      <c r="E32" s="169"/>
      <c r="F32" s="169"/>
      <c r="G32" s="169"/>
      <c r="H32" s="169"/>
      <c r="I32" s="80"/>
      <c r="J32" s="81"/>
    </row>
    <row r="33" spans="1:10" x14ac:dyDescent="0.25">
      <c r="A33" s="167" t="s">
        <v>327</v>
      </c>
      <c r="B33" s="168"/>
      <c r="C33" s="78" t="s">
        <v>339</v>
      </c>
      <c r="D33" s="166" t="s">
        <v>338</v>
      </c>
      <c r="E33" s="149"/>
      <c r="F33" s="149"/>
      <c r="G33" s="149"/>
      <c r="H33" s="76"/>
      <c r="I33" s="83" t="s">
        <v>339</v>
      </c>
      <c r="J33" s="84" t="s">
        <v>340</v>
      </c>
    </row>
    <row r="34" spans="1:10" x14ac:dyDescent="0.25">
      <c r="A34" s="69"/>
      <c r="B34" s="70"/>
      <c r="C34" s="70"/>
      <c r="D34" s="70"/>
      <c r="E34" s="141"/>
      <c r="F34" s="141"/>
      <c r="G34" s="141"/>
      <c r="H34" s="141"/>
      <c r="I34" s="70"/>
      <c r="J34" s="72"/>
    </row>
    <row r="35" spans="1:10" x14ac:dyDescent="0.25">
      <c r="A35" s="166" t="s">
        <v>328</v>
      </c>
      <c r="B35" s="149"/>
      <c r="C35" s="149"/>
      <c r="D35" s="149"/>
      <c r="E35" s="149" t="s">
        <v>318</v>
      </c>
      <c r="F35" s="149"/>
      <c r="G35" s="149"/>
      <c r="H35" s="149"/>
      <c r="I35" s="149"/>
      <c r="J35" s="86" t="s">
        <v>319</v>
      </c>
    </row>
    <row r="36" spans="1:10" x14ac:dyDescent="0.25">
      <c r="A36" s="69"/>
      <c r="B36" s="70"/>
      <c r="C36" s="70"/>
      <c r="D36" s="70"/>
      <c r="E36" s="141"/>
      <c r="F36" s="141"/>
      <c r="G36" s="141"/>
      <c r="H36" s="141"/>
      <c r="I36" s="70"/>
      <c r="J36" s="81"/>
    </row>
    <row r="37" spans="1:10" x14ac:dyDescent="0.25">
      <c r="A37" s="162" t="s">
        <v>465</v>
      </c>
      <c r="B37" s="163"/>
      <c r="C37" s="163"/>
      <c r="D37" s="163"/>
      <c r="E37" s="151" t="s">
        <v>472</v>
      </c>
      <c r="F37" s="164"/>
      <c r="G37" s="164"/>
      <c r="H37" s="164"/>
      <c r="I37" s="152"/>
      <c r="J37" s="87">
        <v>485764</v>
      </c>
    </row>
    <row r="38" spans="1:10" x14ac:dyDescent="0.25">
      <c r="A38" s="69"/>
      <c r="B38" s="70"/>
      <c r="C38" s="77"/>
      <c r="D38" s="161"/>
      <c r="E38" s="161"/>
      <c r="F38" s="161"/>
      <c r="G38" s="161"/>
      <c r="H38" s="161"/>
      <c r="I38" s="161"/>
      <c r="J38" s="72"/>
    </row>
    <row r="39" spans="1:10" x14ac:dyDescent="0.25">
      <c r="A39" s="162" t="s">
        <v>466</v>
      </c>
      <c r="B39" s="163"/>
      <c r="C39" s="163"/>
      <c r="D39" s="165"/>
      <c r="E39" s="151" t="s">
        <v>467</v>
      </c>
      <c r="F39" s="164"/>
      <c r="G39" s="164"/>
      <c r="H39" s="164"/>
      <c r="I39" s="152"/>
      <c r="J39" s="78">
        <v>490555</v>
      </c>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41"/>
      <c r="F44" s="141"/>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1"/>
      <c r="F48" s="141"/>
      <c r="G48" s="155"/>
      <c r="H48" s="155"/>
      <c r="I48" s="70"/>
      <c r="J48" s="90" t="s">
        <v>341</v>
      </c>
    </row>
    <row r="49" spans="1:10" x14ac:dyDescent="0.25">
      <c r="A49" s="89"/>
      <c r="B49" s="77"/>
      <c r="C49" s="77"/>
      <c r="D49" s="70"/>
      <c r="E49" s="141"/>
      <c r="F49" s="141"/>
      <c r="G49" s="155"/>
      <c r="H49" s="155"/>
      <c r="I49" s="70"/>
      <c r="J49" s="90" t="s">
        <v>342</v>
      </c>
    </row>
    <row r="50" spans="1:10" ht="14.45" customHeight="1" x14ac:dyDescent="0.25">
      <c r="A50" s="134" t="s">
        <v>320</v>
      </c>
      <c r="B50" s="135"/>
      <c r="C50" s="151" t="s">
        <v>459</v>
      </c>
      <c r="D50" s="152"/>
      <c r="E50" s="153" t="s">
        <v>343</v>
      </c>
      <c r="F50" s="154"/>
      <c r="G50" s="142"/>
      <c r="H50" s="143"/>
      <c r="I50" s="143"/>
      <c r="J50" s="144"/>
    </row>
    <row r="51" spans="1:10" x14ac:dyDescent="0.25">
      <c r="A51" s="89"/>
      <c r="B51" s="77"/>
      <c r="C51" s="155"/>
      <c r="D51" s="155"/>
      <c r="E51" s="141"/>
      <c r="F51" s="141"/>
      <c r="G51" s="156" t="s">
        <v>344</v>
      </c>
      <c r="H51" s="156"/>
      <c r="I51" s="156"/>
      <c r="J51" s="61"/>
    </row>
    <row r="52" spans="1:10" ht="13.9" customHeight="1" x14ac:dyDescent="0.25">
      <c r="A52" s="134" t="s">
        <v>321</v>
      </c>
      <c r="B52" s="135"/>
      <c r="C52" s="142" t="s">
        <v>460</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4" t="s">
        <v>323</v>
      </c>
      <c r="B54" s="135"/>
      <c r="C54" s="146" t="s">
        <v>461</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4" t="s">
        <v>315</v>
      </c>
      <c r="B56" s="135"/>
      <c r="C56" s="136" t="s">
        <v>462</v>
      </c>
      <c r="D56" s="137"/>
      <c r="E56" s="137"/>
      <c r="F56" s="137"/>
      <c r="G56" s="137"/>
      <c r="H56" s="137"/>
      <c r="I56" s="137"/>
      <c r="J56" s="138"/>
    </row>
    <row r="57" spans="1:10" x14ac:dyDescent="0.25">
      <c r="A57" s="69"/>
      <c r="B57" s="70"/>
      <c r="C57" s="70"/>
      <c r="D57" s="70"/>
      <c r="E57" s="141"/>
      <c r="F57" s="141"/>
      <c r="G57" s="141"/>
      <c r="H57" s="141"/>
      <c r="I57" s="70"/>
      <c r="J57" s="72"/>
    </row>
    <row r="58" spans="1:10" x14ac:dyDescent="0.25">
      <c r="A58" s="134" t="s">
        <v>345</v>
      </c>
      <c r="B58" s="135"/>
      <c r="C58" s="136"/>
      <c r="D58" s="137"/>
      <c r="E58" s="137"/>
      <c r="F58" s="137"/>
      <c r="G58" s="137"/>
      <c r="H58" s="137"/>
      <c r="I58" s="137"/>
      <c r="J58" s="138"/>
    </row>
    <row r="59" spans="1:10" ht="14.45" customHeight="1" x14ac:dyDescent="0.25">
      <c r="A59" s="69"/>
      <c r="B59" s="70"/>
      <c r="C59" s="139" t="s">
        <v>346</v>
      </c>
      <c r="D59" s="139"/>
      <c r="E59" s="139"/>
      <c r="F59" s="139"/>
      <c r="G59" s="70"/>
      <c r="H59" s="70"/>
      <c r="I59" s="70"/>
      <c r="J59" s="72"/>
    </row>
    <row r="60" spans="1:10" x14ac:dyDescent="0.25">
      <c r="A60" s="134" t="s">
        <v>347</v>
      </c>
      <c r="B60" s="135"/>
      <c r="C60" s="136"/>
      <c r="D60" s="137"/>
      <c r="E60" s="137"/>
      <c r="F60" s="137"/>
      <c r="G60" s="137"/>
      <c r="H60" s="137"/>
      <c r="I60" s="137"/>
      <c r="J60" s="138"/>
    </row>
    <row r="61" spans="1:10" ht="14.45" customHeight="1" x14ac:dyDescent="0.25">
      <c r="A61" s="91"/>
      <c r="B61" s="92"/>
      <c r="C61" s="140" t="s">
        <v>348</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58" zoomScaleNormal="100" zoomScaleSheetLayoutView="110" workbookViewId="0">
      <selection activeCell="A74" sqref="A74: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469</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464</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930279423</v>
      </c>
      <c r="I9" s="23">
        <f>I10+I17+I27+I38+I43</f>
        <v>922452375</v>
      </c>
    </row>
    <row r="10" spans="1:9" ht="12.75" customHeight="1" x14ac:dyDescent="0.2">
      <c r="A10" s="200" t="s">
        <v>5</v>
      </c>
      <c r="B10" s="200"/>
      <c r="C10" s="200"/>
      <c r="D10" s="200"/>
      <c r="E10" s="200"/>
      <c r="F10" s="200"/>
      <c r="G10" s="15">
        <v>3</v>
      </c>
      <c r="H10" s="23">
        <f>H11+H12+H13+H14+H15+H16</f>
        <v>2236612</v>
      </c>
      <c r="I10" s="23">
        <f>I11+I12+I13+I14+I15+I16</f>
        <v>2431737</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664859</v>
      </c>
      <c r="I12" s="22">
        <v>1106677</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60000</v>
      </c>
      <c r="I15" s="22">
        <v>393209</v>
      </c>
    </row>
    <row r="16" spans="1:9" ht="12.75" customHeight="1" x14ac:dyDescent="0.2">
      <c r="A16" s="196" t="s">
        <v>11</v>
      </c>
      <c r="B16" s="196"/>
      <c r="C16" s="196"/>
      <c r="D16" s="196"/>
      <c r="E16" s="196"/>
      <c r="F16" s="196"/>
      <c r="G16" s="14">
        <v>9</v>
      </c>
      <c r="H16" s="22">
        <v>1511753</v>
      </c>
      <c r="I16" s="22">
        <v>931851</v>
      </c>
    </row>
    <row r="17" spans="1:9" ht="12.75" customHeight="1" x14ac:dyDescent="0.2">
      <c r="A17" s="200" t="s">
        <v>12</v>
      </c>
      <c r="B17" s="200"/>
      <c r="C17" s="200"/>
      <c r="D17" s="200"/>
      <c r="E17" s="200"/>
      <c r="F17" s="200"/>
      <c r="G17" s="15">
        <v>10</v>
      </c>
      <c r="H17" s="23">
        <f>H18+H19+H20+H21+H22+H23+H24+H25+H26</f>
        <v>763556888</v>
      </c>
      <c r="I17" s="23">
        <f>I18+I19+I20+I21+I22+I23+I24+I25+I26</f>
        <v>701886011</v>
      </c>
    </row>
    <row r="18" spans="1:9" ht="12.75" customHeight="1" x14ac:dyDescent="0.2">
      <c r="A18" s="196" t="s">
        <v>13</v>
      </c>
      <c r="B18" s="196"/>
      <c r="C18" s="196"/>
      <c r="D18" s="196"/>
      <c r="E18" s="196"/>
      <c r="F18" s="196"/>
      <c r="G18" s="14">
        <v>11</v>
      </c>
      <c r="H18" s="22">
        <v>19752892</v>
      </c>
      <c r="I18" s="22">
        <v>19752892</v>
      </c>
    </row>
    <row r="19" spans="1:9" ht="12.75" customHeight="1" x14ac:dyDescent="0.2">
      <c r="A19" s="196" t="s">
        <v>14</v>
      </c>
      <c r="B19" s="196"/>
      <c r="C19" s="196"/>
      <c r="D19" s="196"/>
      <c r="E19" s="196"/>
      <c r="F19" s="196"/>
      <c r="G19" s="14">
        <v>12</v>
      </c>
      <c r="H19" s="22">
        <v>35297100</v>
      </c>
      <c r="I19" s="22">
        <v>39689168</v>
      </c>
    </row>
    <row r="20" spans="1:9" ht="12.75" customHeight="1" x14ac:dyDescent="0.2">
      <c r="A20" s="196" t="s">
        <v>15</v>
      </c>
      <c r="B20" s="196"/>
      <c r="C20" s="196"/>
      <c r="D20" s="196"/>
      <c r="E20" s="196"/>
      <c r="F20" s="196"/>
      <c r="G20" s="14">
        <v>13</v>
      </c>
      <c r="H20" s="22">
        <v>57560055</v>
      </c>
      <c r="I20" s="22">
        <v>53520736</v>
      </c>
    </row>
    <row r="21" spans="1:9" ht="12.75" customHeight="1" x14ac:dyDescent="0.2">
      <c r="A21" s="196" t="s">
        <v>16</v>
      </c>
      <c r="B21" s="196"/>
      <c r="C21" s="196"/>
      <c r="D21" s="196"/>
      <c r="E21" s="196"/>
      <c r="F21" s="196"/>
      <c r="G21" s="14">
        <v>14</v>
      </c>
      <c r="H21" s="22">
        <v>540094160</v>
      </c>
      <c r="I21" s="22">
        <v>534027662</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6068364</v>
      </c>
      <c r="I24" s="22">
        <v>35603</v>
      </c>
    </row>
    <row r="25" spans="1:9" ht="12.75" customHeight="1" x14ac:dyDescent="0.2">
      <c r="A25" s="196" t="s">
        <v>20</v>
      </c>
      <c r="B25" s="196"/>
      <c r="C25" s="196"/>
      <c r="D25" s="196"/>
      <c r="E25" s="196"/>
      <c r="F25" s="196"/>
      <c r="G25" s="14">
        <v>18</v>
      </c>
      <c r="H25" s="22">
        <v>104784317</v>
      </c>
      <c r="I25" s="22">
        <v>54859950</v>
      </c>
    </row>
    <row r="26" spans="1:9" ht="12.75" customHeight="1" x14ac:dyDescent="0.2">
      <c r="A26" s="196" t="s">
        <v>21</v>
      </c>
      <c r="B26" s="196"/>
      <c r="C26" s="196"/>
      <c r="D26" s="196"/>
      <c r="E26" s="196"/>
      <c r="F26" s="196"/>
      <c r="G26" s="14">
        <v>19</v>
      </c>
      <c r="H26" s="22">
        <v>0</v>
      </c>
      <c r="I26" s="22">
        <v>0</v>
      </c>
    </row>
    <row r="27" spans="1:9" ht="12.75" customHeight="1" x14ac:dyDescent="0.2">
      <c r="A27" s="200" t="s">
        <v>22</v>
      </c>
      <c r="B27" s="200"/>
      <c r="C27" s="200"/>
      <c r="D27" s="200"/>
      <c r="E27" s="200"/>
      <c r="F27" s="200"/>
      <c r="G27" s="15">
        <v>20</v>
      </c>
      <c r="H27" s="23">
        <f>SUM(H28:H37)</f>
        <v>29425142</v>
      </c>
      <c r="I27" s="23">
        <f>SUM(I28:I37)</f>
        <v>59268228</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916561</v>
      </c>
      <c r="I34" s="22">
        <v>1071361</v>
      </c>
    </row>
    <row r="35" spans="1:9" ht="12.75" customHeight="1" x14ac:dyDescent="0.2">
      <c r="A35" s="196" t="s">
        <v>30</v>
      </c>
      <c r="B35" s="196"/>
      <c r="C35" s="196"/>
      <c r="D35" s="196"/>
      <c r="E35" s="196"/>
      <c r="F35" s="196"/>
      <c r="G35" s="14">
        <v>28</v>
      </c>
      <c r="H35" s="22">
        <v>28508581</v>
      </c>
      <c r="I35" s="22">
        <v>58196867</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135060781</v>
      </c>
      <c r="I38" s="23">
        <f>I39+I40+I41+I42</f>
        <v>158866399</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135060781</v>
      </c>
      <c r="I42" s="22">
        <v>158866399</v>
      </c>
    </row>
    <row r="43" spans="1:9" ht="12.75" customHeight="1" x14ac:dyDescent="0.2">
      <c r="A43" s="196" t="s">
        <v>38</v>
      </c>
      <c r="B43" s="196"/>
      <c r="C43" s="196"/>
      <c r="D43" s="196"/>
      <c r="E43" s="196"/>
      <c r="F43" s="196"/>
      <c r="G43" s="14">
        <v>36</v>
      </c>
      <c r="H43" s="22">
        <v>0</v>
      </c>
      <c r="I43" s="22">
        <v>0</v>
      </c>
    </row>
    <row r="44" spans="1:9" ht="12.75" customHeight="1" x14ac:dyDescent="0.2">
      <c r="A44" s="198" t="s">
        <v>304</v>
      </c>
      <c r="B44" s="198"/>
      <c r="C44" s="198"/>
      <c r="D44" s="198"/>
      <c r="E44" s="198"/>
      <c r="F44" s="198"/>
      <c r="G44" s="15">
        <v>37</v>
      </c>
      <c r="H44" s="23">
        <f>H45+H53+H60+H70</f>
        <v>732480576</v>
      </c>
      <c r="I44" s="23">
        <f>I45+I53+I60+I70</f>
        <v>621226441</v>
      </c>
    </row>
    <row r="45" spans="1:9" ht="12.75" customHeight="1" x14ac:dyDescent="0.2">
      <c r="A45" s="200" t="s">
        <v>39</v>
      </c>
      <c r="B45" s="200"/>
      <c r="C45" s="200"/>
      <c r="D45" s="200"/>
      <c r="E45" s="200"/>
      <c r="F45" s="200"/>
      <c r="G45" s="15">
        <v>38</v>
      </c>
      <c r="H45" s="23">
        <f>SUM(H46:H52)</f>
        <v>61797098</v>
      </c>
      <c r="I45" s="23">
        <f>SUM(I46:I52)</f>
        <v>62542893</v>
      </c>
    </row>
    <row r="46" spans="1:9" ht="12.75" customHeight="1" x14ac:dyDescent="0.2">
      <c r="A46" s="196" t="s">
        <v>40</v>
      </c>
      <c r="B46" s="196"/>
      <c r="C46" s="196"/>
      <c r="D46" s="196"/>
      <c r="E46" s="196"/>
      <c r="F46" s="196"/>
      <c r="G46" s="14">
        <v>39</v>
      </c>
      <c r="H46" s="22">
        <v>61797098</v>
      </c>
      <c r="I46" s="22">
        <v>62542893</v>
      </c>
    </row>
    <row r="47" spans="1:9" ht="12.75" customHeight="1" x14ac:dyDescent="0.2">
      <c r="A47" s="196" t="s">
        <v>41</v>
      </c>
      <c r="B47" s="196"/>
      <c r="C47" s="196"/>
      <c r="D47" s="196"/>
      <c r="E47" s="196"/>
      <c r="F47" s="196"/>
      <c r="G47" s="14">
        <v>40</v>
      </c>
      <c r="H47" s="22">
        <v>0</v>
      </c>
      <c r="I47" s="22">
        <v>0</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43669823</v>
      </c>
      <c r="I53" s="23">
        <f>SUM(I54:I59)</f>
        <v>81139745</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20281752</v>
      </c>
      <c r="I56" s="22">
        <v>71959472</v>
      </c>
    </row>
    <row r="57" spans="1:9" ht="12.75" customHeight="1" x14ac:dyDescent="0.2">
      <c r="A57" s="196" t="s">
        <v>51</v>
      </c>
      <c r="B57" s="196"/>
      <c r="C57" s="196"/>
      <c r="D57" s="196"/>
      <c r="E57" s="196"/>
      <c r="F57" s="196"/>
      <c r="G57" s="14">
        <v>50</v>
      </c>
      <c r="H57" s="22">
        <v>47625</v>
      </c>
      <c r="I57" s="22">
        <v>66361</v>
      </c>
    </row>
    <row r="58" spans="1:9" ht="12.75" customHeight="1" x14ac:dyDescent="0.2">
      <c r="A58" s="196" t="s">
        <v>52</v>
      </c>
      <c r="B58" s="196"/>
      <c r="C58" s="196"/>
      <c r="D58" s="196"/>
      <c r="E58" s="196"/>
      <c r="F58" s="196"/>
      <c r="G58" s="14">
        <v>51</v>
      </c>
      <c r="H58" s="22">
        <v>20368315</v>
      </c>
      <c r="I58" s="22">
        <v>5451188</v>
      </c>
    </row>
    <row r="59" spans="1:9" ht="12.75" customHeight="1" x14ac:dyDescent="0.2">
      <c r="A59" s="196" t="s">
        <v>53</v>
      </c>
      <c r="B59" s="196"/>
      <c r="C59" s="196"/>
      <c r="D59" s="196"/>
      <c r="E59" s="196"/>
      <c r="F59" s="196"/>
      <c r="G59" s="14">
        <v>52</v>
      </c>
      <c r="H59" s="22">
        <v>2972131</v>
      </c>
      <c r="I59" s="22">
        <v>3662724</v>
      </c>
    </row>
    <row r="60" spans="1:9" ht="12.75" customHeight="1" x14ac:dyDescent="0.2">
      <c r="A60" s="200" t="s">
        <v>54</v>
      </c>
      <c r="B60" s="200"/>
      <c r="C60" s="200"/>
      <c r="D60" s="200"/>
      <c r="E60" s="200"/>
      <c r="F60" s="200"/>
      <c r="G60" s="15">
        <v>53</v>
      </c>
      <c r="H60" s="23">
        <f>SUM(H61:H69)</f>
        <v>47436472</v>
      </c>
      <c r="I60" s="23">
        <f>SUM(I61:I69)</f>
        <v>79215500</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186</v>
      </c>
      <c r="I67" s="22">
        <v>186</v>
      </c>
    </row>
    <row r="68" spans="1:9" ht="12.75" customHeight="1" x14ac:dyDescent="0.2">
      <c r="A68" s="196" t="s">
        <v>30</v>
      </c>
      <c r="B68" s="196"/>
      <c r="C68" s="196"/>
      <c r="D68" s="196"/>
      <c r="E68" s="196"/>
      <c r="F68" s="196"/>
      <c r="G68" s="14">
        <v>61</v>
      </c>
      <c r="H68" s="22">
        <v>47436286</v>
      </c>
      <c r="I68" s="22">
        <v>79215314</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579577183</v>
      </c>
      <c r="I70" s="22">
        <v>398328303</v>
      </c>
    </row>
    <row r="71" spans="1:9" ht="12.75" customHeight="1" x14ac:dyDescent="0.2">
      <c r="A71" s="197" t="s">
        <v>58</v>
      </c>
      <c r="B71" s="197"/>
      <c r="C71" s="197"/>
      <c r="D71" s="197"/>
      <c r="E71" s="197"/>
      <c r="F71" s="197"/>
      <c r="G71" s="14">
        <v>64</v>
      </c>
      <c r="H71" s="22">
        <v>9620943</v>
      </c>
      <c r="I71" s="22">
        <v>13668630</v>
      </c>
    </row>
    <row r="72" spans="1:9" ht="12.75" customHeight="1" x14ac:dyDescent="0.2">
      <c r="A72" s="198" t="s">
        <v>305</v>
      </c>
      <c r="B72" s="198"/>
      <c r="C72" s="198"/>
      <c r="D72" s="198"/>
      <c r="E72" s="198"/>
      <c r="F72" s="198"/>
      <c r="G72" s="15">
        <v>65</v>
      </c>
      <c r="H72" s="23">
        <f>H8+H9+H44+H71</f>
        <v>1672380942</v>
      </c>
      <c r="I72" s="23">
        <f>I8+I9+I44+I71</f>
        <v>1557347446</v>
      </c>
    </row>
    <row r="73" spans="1:9" ht="12.75" customHeight="1" x14ac:dyDescent="0.2">
      <c r="A73" s="197" t="s">
        <v>59</v>
      </c>
      <c r="B73" s="197"/>
      <c r="C73" s="197"/>
      <c r="D73" s="197"/>
      <c r="E73" s="197"/>
      <c r="F73" s="197"/>
      <c r="G73" s="14">
        <v>66</v>
      </c>
      <c r="H73" s="22">
        <v>0</v>
      </c>
      <c r="I73" s="22">
        <v>0</v>
      </c>
    </row>
    <row r="74" spans="1:9" x14ac:dyDescent="0.2">
      <c r="A74" s="201" t="s">
        <v>60</v>
      </c>
      <c r="B74" s="202"/>
      <c r="C74" s="202"/>
      <c r="D74" s="202"/>
      <c r="E74" s="202"/>
      <c r="F74" s="202"/>
      <c r="G74" s="202"/>
      <c r="H74" s="202"/>
      <c r="I74" s="202"/>
    </row>
    <row r="75" spans="1:9" ht="12.75" customHeight="1" x14ac:dyDescent="0.2">
      <c r="A75" s="198" t="s">
        <v>353</v>
      </c>
      <c r="B75" s="198"/>
      <c r="C75" s="198"/>
      <c r="D75" s="198"/>
      <c r="E75" s="198"/>
      <c r="F75" s="198"/>
      <c r="G75" s="15">
        <v>67</v>
      </c>
      <c r="H75" s="102">
        <f>H76+H77+H78+H84+H85+H91+H94+H97</f>
        <v>218304587</v>
      </c>
      <c r="I75" s="102">
        <f>I76+I77+I78+I84+I85+I91+I94+I97</f>
        <v>52223390</v>
      </c>
    </row>
    <row r="76" spans="1:9" ht="12.75" customHeight="1" x14ac:dyDescent="0.2">
      <c r="A76" s="196" t="s">
        <v>61</v>
      </c>
      <c r="B76" s="196"/>
      <c r="C76" s="196"/>
      <c r="D76" s="196"/>
      <c r="E76" s="196"/>
      <c r="F76" s="196"/>
      <c r="G76" s="14">
        <v>68</v>
      </c>
      <c r="H76" s="22">
        <v>277879530</v>
      </c>
      <c r="I76" s="22">
        <v>627879530</v>
      </c>
    </row>
    <row r="77" spans="1:9" ht="12.75" customHeight="1" x14ac:dyDescent="0.2">
      <c r="A77" s="196" t="s">
        <v>62</v>
      </c>
      <c r="B77" s="196"/>
      <c r="C77" s="196"/>
      <c r="D77" s="196"/>
      <c r="E77" s="196"/>
      <c r="F77" s="196"/>
      <c r="G77" s="14">
        <v>69</v>
      </c>
      <c r="H77" s="22">
        <v>350000000</v>
      </c>
      <c r="I77" s="22">
        <v>0</v>
      </c>
    </row>
    <row r="78" spans="1:9" ht="12.75" customHeight="1" x14ac:dyDescent="0.2">
      <c r="A78" s="200" t="s">
        <v>63</v>
      </c>
      <c r="B78" s="200"/>
      <c r="C78" s="200"/>
      <c r="D78" s="200"/>
      <c r="E78" s="200"/>
      <c r="F78" s="200"/>
      <c r="G78" s="15">
        <v>70</v>
      </c>
      <c r="H78" s="102">
        <f>SUM(H79:H83)</f>
        <v>2613131</v>
      </c>
      <c r="I78" s="102">
        <f>SUM(I79:I83)</f>
        <v>2452270</v>
      </c>
    </row>
    <row r="79" spans="1:9" ht="12.75" customHeight="1" x14ac:dyDescent="0.2">
      <c r="A79" s="196" t="s">
        <v>64</v>
      </c>
      <c r="B79" s="196"/>
      <c r="C79" s="196"/>
      <c r="D79" s="196"/>
      <c r="E79" s="196"/>
      <c r="F79" s="196"/>
      <c r="G79" s="14">
        <v>71</v>
      </c>
      <c r="H79" s="22">
        <v>0</v>
      </c>
      <c r="I79" s="22">
        <v>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2613131</v>
      </c>
      <c r="I83" s="22">
        <v>2452270</v>
      </c>
    </row>
    <row r="84" spans="1:9" ht="12.75" customHeight="1" x14ac:dyDescent="0.2">
      <c r="A84" s="199" t="s">
        <v>69</v>
      </c>
      <c r="B84" s="199"/>
      <c r="C84" s="199"/>
      <c r="D84" s="199"/>
      <c r="E84" s="199"/>
      <c r="F84" s="199"/>
      <c r="G84" s="95">
        <v>76</v>
      </c>
      <c r="H84" s="96">
        <v>0</v>
      </c>
      <c r="I84" s="96">
        <v>0</v>
      </c>
    </row>
    <row r="85" spans="1:9" ht="12.75" customHeight="1" x14ac:dyDescent="0.2">
      <c r="A85" s="200" t="s">
        <v>445</v>
      </c>
      <c r="B85" s="200"/>
      <c r="C85" s="200"/>
      <c r="D85" s="200"/>
      <c r="E85" s="200"/>
      <c r="F85" s="200"/>
      <c r="G85" s="15">
        <v>77</v>
      </c>
      <c r="H85" s="23">
        <f>H86+H87+H88+H89+H90</f>
        <v>-1985953</v>
      </c>
      <c r="I85" s="23">
        <f>I86+I87+I88+I89+I90</f>
        <v>-1416652</v>
      </c>
    </row>
    <row r="86" spans="1:9" ht="25.5" customHeight="1" x14ac:dyDescent="0.2">
      <c r="A86" s="196" t="s">
        <v>446</v>
      </c>
      <c r="B86" s="196"/>
      <c r="C86" s="196"/>
      <c r="D86" s="196"/>
      <c r="E86" s="196"/>
      <c r="F86" s="196"/>
      <c r="G86" s="14">
        <v>78</v>
      </c>
      <c r="H86" s="22">
        <v>-975240</v>
      </c>
      <c r="I86" s="22">
        <v>-820440</v>
      </c>
    </row>
    <row r="87" spans="1:9" ht="12.75" customHeight="1" x14ac:dyDescent="0.2">
      <c r="A87" s="196" t="s">
        <v>70</v>
      </c>
      <c r="B87" s="196"/>
      <c r="C87" s="196"/>
      <c r="D87" s="196"/>
      <c r="E87" s="196"/>
      <c r="F87" s="196"/>
      <c r="G87" s="14">
        <v>79</v>
      </c>
      <c r="H87" s="22">
        <v>-1010713</v>
      </c>
      <c r="I87" s="22">
        <v>-596212</v>
      </c>
    </row>
    <row r="88" spans="1:9" ht="12.75" customHeight="1" x14ac:dyDescent="0.2">
      <c r="A88" s="196" t="s">
        <v>71</v>
      </c>
      <c r="B88" s="196"/>
      <c r="C88" s="196"/>
      <c r="D88" s="196"/>
      <c r="E88" s="196"/>
      <c r="F88" s="196"/>
      <c r="G88" s="14">
        <v>80</v>
      </c>
      <c r="H88" s="22">
        <v>0</v>
      </c>
      <c r="I88" s="22">
        <v>0</v>
      </c>
    </row>
    <row r="89" spans="1:9" ht="12.75" customHeight="1" x14ac:dyDescent="0.2">
      <c r="A89" s="196" t="s">
        <v>349</v>
      </c>
      <c r="B89" s="196"/>
      <c r="C89" s="196"/>
      <c r="D89" s="196"/>
      <c r="E89" s="196"/>
      <c r="F89" s="196"/>
      <c r="G89" s="14">
        <v>81</v>
      </c>
      <c r="H89" s="22">
        <v>0</v>
      </c>
      <c r="I89" s="22">
        <v>0</v>
      </c>
    </row>
    <row r="90" spans="1:9" ht="12.75" customHeight="1" x14ac:dyDescent="0.2">
      <c r="A90" s="196" t="s">
        <v>350</v>
      </c>
      <c r="B90" s="196"/>
      <c r="C90" s="196"/>
      <c r="D90" s="196"/>
      <c r="E90" s="196"/>
      <c r="F90" s="196"/>
      <c r="G90" s="14">
        <v>82</v>
      </c>
      <c r="H90" s="22">
        <v>0</v>
      </c>
      <c r="I90" s="22">
        <v>0</v>
      </c>
    </row>
    <row r="91" spans="1:9" ht="12.75" customHeight="1" x14ac:dyDescent="0.2">
      <c r="A91" s="200" t="s">
        <v>351</v>
      </c>
      <c r="B91" s="200"/>
      <c r="C91" s="200"/>
      <c r="D91" s="200"/>
      <c r="E91" s="200"/>
      <c r="F91" s="200"/>
      <c r="G91" s="15">
        <v>83</v>
      </c>
      <c r="H91" s="23">
        <f>H92-H93</f>
        <v>-49423529</v>
      </c>
      <c r="I91" s="23">
        <f>I92-I93</f>
        <v>-410041259</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49423529</v>
      </c>
      <c r="I93" s="22">
        <v>410041259</v>
      </c>
    </row>
    <row r="94" spans="1:9" ht="12.75" customHeight="1" x14ac:dyDescent="0.2">
      <c r="A94" s="200" t="s">
        <v>352</v>
      </c>
      <c r="B94" s="200"/>
      <c r="C94" s="200"/>
      <c r="D94" s="200"/>
      <c r="E94" s="200"/>
      <c r="F94" s="200"/>
      <c r="G94" s="15">
        <v>86</v>
      </c>
      <c r="H94" s="23">
        <f>H95-H96</f>
        <v>-360778592</v>
      </c>
      <c r="I94" s="23">
        <f>I95-I96</f>
        <v>-166650499</v>
      </c>
    </row>
    <row r="95" spans="1:9" ht="12.75" customHeight="1" x14ac:dyDescent="0.2">
      <c r="A95" s="196" t="s">
        <v>74</v>
      </c>
      <c r="B95" s="196"/>
      <c r="C95" s="196"/>
      <c r="D95" s="196"/>
      <c r="E95" s="196"/>
      <c r="F95" s="196"/>
      <c r="G95" s="14">
        <v>87</v>
      </c>
      <c r="H95" s="22">
        <v>0</v>
      </c>
      <c r="I95" s="22">
        <v>0</v>
      </c>
    </row>
    <row r="96" spans="1:9" ht="12.75" customHeight="1" x14ac:dyDescent="0.2">
      <c r="A96" s="196" t="s">
        <v>75</v>
      </c>
      <c r="B96" s="196"/>
      <c r="C96" s="196"/>
      <c r="D96" s="196"/>
      <c r="E96" s="196"/>
      <c r="F96" s="196"/>
      <c r="G96" s="14">
        <v>88</v>
      </c>
      <c r="H96" s="22">
        <v>360778592</v>
      </c>
      <c r="I96" s="22">
        <v>166650499</v>
      </c>
    </row>
    <row r="97" spans="1:9" ht="12.75" customHeight="1" x14ac:dyDescent="0.2">
      <c r="A97" s="196" t="s">
        <v>76</v>
      </c>
      <c r="B97" s="196"/>
      <c r="C97" s="196"/>
      <c r="D97" s="196"/>
      <c r="E97" s="196"/>
      <c r="F97" s="196"/>
      <c r="G97" s="14">
        <v>89</v>
      </c>
      <c r="H97" s="22">
        <v>0</v>
      </c>
      <c r="I97" s="22">
        <v>0</v>
      </c>
    </row>
    <row r="98" spans="1:9" ht="12.75" customHeight="1" x14ac:dyDescent="0.2">
      <c r="A98" s="198" t="s">
        <v>354</v>
      </c>
      <c r="B98" s="198"/>
      <c r="C98" s="198"/>
      <c r="D98" s="198"/>
      <c r="E98" s="198"/>
      <c r="F98" s="198"/>
      <c r="G98" s="15">
        <v>90</v>
      </c>
      <c r="H98" s="23">
        <f>SUM(H99:H104)</f>
        <v>203074662</v>
      </c>
      <c r="I98" s="23">
        <f>SUM(I99:I104)</f>
        <v>228822398</v>
      </c>
    </row>
    <row r="99" spans="1:9" ht="12.75" customHeight="1" x14ac:dyDescent="0.2">
      <c r="A99" s="196" t="s">
        <v>77</v>
      </c>
      <c r="B99" s="196"/>
      <c r="C99" s="196"/>
      <c r="D99" s="196"/>
      <c r="E99" s="196"/>
      <c r="F99" s="196"/>
      <c r="G99" s="14">
        <v>91</v>
      </c>
      <c r="H99" s="22">
        <v>9933641</v>
      </c>
      <c r="I99" s="22">
        <v>9358710</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3114497</v>
      </c>
      <c r="I101" s="22">
        <v>3015733</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190026524</v>
      </c>
      <c r="I104" s="22">
        <v>216447955</v>
      </c>
    </row>
    <row r="105" spans="1:9" ht="12.75" customHeight="1" x14ac:dyDescent="0.2">
      <c r="A105" s="198" t="s">
        <v>355</v>
      </c>
      <c r="B105" s="198"/>
      <c r="C105" s="198"/>
      <c r="D105" s="198"/>
      <c r="E105" s="198"/>
      <c r="F105" s="198"/>
      <c r="G105" s="15">
        <v>97</v>
      </c>
      <c r="H105" s="23">
        <f>SUM(H106:H116)</f>
        <v>821180167</v>
      </c>
      <c r="I105" s="23">
        <f>SUM(I106:I116)</f>
        <v>575340146</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505419470</v>
      </c>
      <c r="I107" s="22">
        <v>250000000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808339</v>
      </c>
      <c r="I110" s="22">
        <v>54649</v>
      </c>
    </row>
    <row r="111" spans="1:9" ht="12.75" customHeight="1" x14ac:dyDescent="0.2">
      <c r="A111" s="196" t="s">
        <v>88</v>
      </c>
      <c r="B111" s="196"/>
      <c r="C111" s="196"/>
      <c r="D111" s="196"/>
      <c r="E111" s="196"/>
      <c r="F111" s="196"/>
      <c r="G111" s="14">
        <v>103</v>
      </c>
      <c r="H111" s="22">
        <v>304347149</v>
      </c>
      <c r="I111" s="22">
        <v>309784835</v>
      </c>
    </row>
    <row r="112" spans="1:9" ht="12.75" customHeight="1" x14ac:dyDescent="0.2">
      <c r="A112" s="196" t="s">
        <v>89</v>
      </c>
      <c r="B112" s="196"/>
      <c r="C112" s="196"/>
      <c r="D112" s="196"/>
      <c r="E112" s="196"/>
      <c r="F112" s="196"/>
      <c r="G112" s="14">
        <v>104</v>
      </c>
      <c r="H112" s="22">
        <v>29417</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10575792</v>
      </c>
      <c r="I115" s="22">
        <v>15500662</v>
      </c>
    </row>
    <row r="116" spans="1:9" ht="12.75" customHeight="1" x14ac:dyDescent="0.2">
      <c r="A116" s="196" t="s">
        <v>93</v>
      </c>
      <c r="B116" s="196"/>
      <c r="C116" s="196"/>
      <c r="D116" s="196"/>
      <c r="E116" s="196"/>
      <c r="F116" s="196"/>
      <c r="G116" s="14">
        <v>108</v>
      </c>
      <c r="H116" s="22">
        <v>0</v>
      </c>
      <c r="I116" s="22">
        <v>0</v>
      </c>
    </row>
    <row r="117" spans="1:9" ht="12.75" customHeight="1" x14ac:dyDescent="0.2">
      <c r="A117" s="198" t="s">
        <v>356</v>
      </c>
      <c r="B117" s="198"/>
      <c r="C117" s="198"/>
      <c r="D117" s="198"/>
      <c r="E117" s="198"/>
      <c r="F117" s="198"/>
      <c r="G117" s="15">
        <v>109</v>
      </c>
      <c r="H117" s="23">
        <f>SUM(H118:H131)</f>
        <v>396224644</v>
      </c>
      <c r="I117" s="23">
        <f>SUM(I118:I131)</f>
        <v>679106777</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256652347</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12386623</v>
      </c>
      <c r="I122" s="22">
        <v>8247345</v>
      </c>
    </row>
    <row r="123" spans="1:9" ht="12.75" customHeight="1" x14ac:dyDescent="0.2">
      <c r="A123" s="196" t="s">
        <v>88</v>
      </c>
      <c r="B123" s="196"/>
      <c r="C123" s="196"/>
      <c r="D123" s="196"/>
      <c r="E123" s="196"/>
      <c r="F123" s="196"/>
      <c r="G123" s="14">
        <v>115</v>
      </c>
      <c r="H123" s="22">
        <v>82272692</v>
      </c>
      <c r="I123" s="22">
        <v>90570275</v>
      </c>
    </row>
    <row r="124" spans="1:9" ht="12.75" customHeight="1" x14ac:dyDescent="0.2">
      <c r="A124" s="196" t="s">
        <v>89</v>
      </c>
      <c r="B124" s="196"/>
      <c r="C124" s="196"/>
      <c r="D124" s="196"/>
      <c r="E124" s="196"/>
      <c r="F124" s="196"/>
      <c r="G124" s="14">
        <v>116</v>
      </c>
      <c r="H124" s="22">
        <v>4583260</v>
      </c>
      <c r="I124" s="22">
        <v>14140809</v>
      </c>
    </row>
    <row r="125" spans="1:9" ht="12.75" customHeight="1" x14ac:dyDescent="0.2">
      <c r="A125" s="196" t="s">
        <v>90</v>
      </c>
      <c r="B125" s="196"/>
      <c r="C125" s="196"/>
      <c r="D125" s="196"/>
      <c r="E125" s="196"/>
      <c r="F125" s="196"/>
      <c r="G125" s="14">
        <v>117</v>
      </c>
      <c r="H125" s="22">
        <v>66607205</v>
      </c>
      <c r="I125" s="22">
        <v>118182756</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10312267</v>
      </c>
      <c r="I127" s="22">
        <v>10411224</v>
      </c>
    </row>
    <row r="128" spans="1:9" x14ac:dyDescent="0.2">
      <c r="A128" s="196" t="s">
        <v>95</v>
      </c>
      <c r="B128" s="196"/>
      <c r="C128" s="196"/>
      <c r="D128" s="196"/>
      <c r="E128" s="196"/>
      <c r="F128" s="196"/>
      <c r="G128" s="14">
        <v>120</v>
      </c>
      <c r="H128" s="22">
        <v>7729642</v>
      </c>
      <c r="I128" s="22">
        <v>7703993</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212332955</v>
      </c>
      <c r="I131" s="22">
        <v>173198028</v>
      </c>
    </row>
    <row r="132" spans="1:9" ht="22.15" customHeight="1" x14ac:dyDescent="0.2">
      <c r="A132" s="197" t="s">
        <v>99</v>
      </c>
      <c r="B132" s="197"/>
      <c r="C132" s="197"/>
      <c r="D132" s="197"/>
      <c r="E132" s="197"/>
      <c r="F132" s="197"/>
      <c r="G132" s="14">
        <v>124</v>
      </c>
      <c r="H132" s="22">
        <v>33596882</v>
      </c>
      <c r="I132" s="22">
        <v>21854735</v>
      </c>
    </row>
    <row r="133" spans="1:9" ht="12.75" customHeight="1" x14ac:dyDescent="0.2">
      <c r="A133" s="198" t="s">
        <v>357</v>
      </c>
      <c r="B133" s="198"/>
      <c r="C133" s="198"/>
      <c r="D133" s="198"/>
      <c r="E133" s="198"/>
      <c r="F133" s="198"/>
      <c r="G133" s="15">
        <v>125</v>
      </c>
      <c r="H133" s="23">
        <f>H75+H98+H105+H117+H132</f>
        <v>1672380942</v>
      </c>
      <c r="I133" s="23">
        <f>I75+I98+I105+I117+I132</f>
        <v>1557347446</v>
      </c>
    </row>
    <row r="134" spans="1:9" x14ac:dyDescent="0.2">
      <c r="A134" s="197" t="s">
        <v>100</v>
      </c>
      <c r="B134" s="197"/>
      <c r="C134" s="197"/>
      <c r="D134" s="197"/>
      <c r="E134" s="197"/>
      <c r="F134" s="19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2" zoomScaleNormal="100" zoomScaleSheetLayoutView="110" workbookViewId="0">
      <selection activeCell="A84" sqref="A84:K1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4" t="s">
        <v>102</v>
      </c>
      <c r="B1" s="235"/>
      <c r="C1" s="235"/>
      <c r="D1" s="235"/>
      <c r="E1" s="235"/>
      <c r="F1" s="235"/>
      <c r="G1" s="235"/>
      <c r="H1" s="235"/>
      <c r="I1" s="235"/>
    </row>
    <row r="2" spans="1:11" x14ac:dyDescent="0.2">
      <c r="A2" s="236" t="s">
        <v>470</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464</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28" t="s">
        <v>358</v>
      </c>
      <c r="B8" s="228"/>
      <c r="C8" s="228"/>
      <c r="D8" s="228"/>
      <c r="E8" s="228"/>
      <c r="F8" s="228"/>
      <c r="G8" s="15">
        <v>1</v>
      </c>
      <c r="H8" s="107">
        <f>SUM(H9:H13)</f>
        <v>548855278</v>
      </c>
      <c r="I8" s="107">
        <f>SUM(I9:I13)</f>
        <v>209046815</v>
      </c>
      <c r="J8" s="107">
        <f>SUM(J9:J13)</f>
        <v>617550591</v>
      </c>
      <c r="K8" s="107">
        <f>SUM(K9:K13)</f>
        <v>323671958</v>
      </c>
    </row>
    <row r="9" spans="1:11" ht="12.75" customHeight="1" x14ac:dyDescent="0.2">
      <c r="A9" s="196" t="s">
        <v>115</v>
      </c>
      <c r="B9" s="196"/>
      <c r="C9" s="196"/>
      <c r="D9" s="196"/>
      <c r="E9" s="196"/>
      <c r="F9" s="196"/>
      <c r="G9" s="14">
        <v>2</v>
      </c>
      <c r="H9" s="108">
        <v>0</v>
      </c>
      <c r="I9" s="108">
        <v>0</v>
      </c>
      <c r="J9" s="108">
        <v>0</v>
      </c>
      <c r="K9" s="108">
        <f>J9</f>
        <v>0</v>
      </c>
    </row>
    <row r="10" spans="1:11" ht="12.75" customHeight="1" x14ac:dyDescent="0.2">
      <c r="A10" s="196" t="s">
        <v>116</v>
      </c>
      <c r="B10" s="196"/>
      <c r="C10" s="196"/>
      <c r="D10" s="196"/>
      <c r="E10" s="196"/>
      <c r="F10" s="196"/>
      <c r="G10" s="14">
        <v>3</v>
      </c>
      <c r="H10" s="22">
        <v>431678623</v>
      </c>
      <c r="I10" s="22">
        <v>158062906</v>
      </c>
      <c r="J10" s="108">
        <v>499012117</v>
      </c>
      <c r="K10" s="108">
        <f>J10-209997224</f>
        <v>289014893</v>
      </c>
    </row>
    <row r="11" spans="1:11" ht="12.75" customHeight="1" x14ac:dyDescent="0.2">
      <c r="A11" s="196" t="s">
        <v>117</v>
      </c>
      <c r="B11" s="196"/>
      <c r="C11" s="196"/>
      <c r="D11" s="196"/>
      <c r="E11" s="196"/>
      <c r="F11" s="196"/>
      <c r="G11" s="14">
        <v>4</v>
      </c>
      <c r="H11" s="108">
        <v>0</v>
      </c>
      <c r="I11" s="108">
        <v>0</v>
      </c>
      <c r="J11" s="108">
        <v>0</v>
      </c>
      <c r="K11" s="108">
        <f t="shared" ref="K11:K12" si="0">J11</f>
        <v>0</v>
      </c>
    </row>
    <row r="12" spans="1:11" ht="12.75" customHeight="1" x14ac:dyDescent="0.2">
      <c r="A12" s="196" t="s">
        <v>118</v>
      </c>
      <c r="B12" s="196"/>
      <c r="C12" s="196"/>
      <c r="D12" s="196"/>
      <c r="E12" s="196"/>
      <c r="F12" s="196"/>
      <c r="G12" s="14">
        <v>5</v>
      </c>
      <c r="H12" s="108">
        <v>0</v>
      </c>
      <c r="I12" s="108">
        <v>0</v>
      </c>
      <c r="J12" s="108">
        <v>0</v>
      </c>
      <c r="K12" s="108">
        <f t="shared" si="0"/>
        <v>0</v>
      </c>
    </row>
    <row r="13" spans="1:11" ht="12.75" customHeight="1" x14ac:dyDescent="0.2">
      <c r="A13" s="196" t="s">
        <v>119</v>
      </c>
      <c r="B13" s="196"/>
      <c r="C13" s="196"/>
      <c r="D13" s="196"/>
      <c r="E13" s="196"/>
      <c r="F13" s="196"/>
      <c r="G13" s="14">
        <v>6</v>
      </c>
      <c r="H13" s="22">
        <v>117176655</v>
      </c>
      <c r="I13" s="22">
        <v>50983909</v>
      </c>
      <c r="J13" s="108">
        <v>118538474</v>
      </c>
      <c r="K13" s="108">
        <f>J13-83881409</f>
        <v>34657065</v>
      </c>
    </row>
    <row r="14" spans="1:11" ht="12.75" customHeight="1" x14ac:dyDescent="0.2">
      <c r="A14" s="228" t="s">
        <v>359</v>
      </c>
      <c r="B14" s="228"/>
      <c r="C14" s="228"/>
      <c r="D14" s="228"/>
      <c r="E14" s="228"/>
      <c r="F14" s="228"/>
      <c r="G14" s="15">
        <v>7</v>
      </c>
      <c r="H14" s="107">
        <f>H15+H16+H20+H24+H25+H26+H29+H36</f>
        <v>773606007</v>
      </c>
      <c r="I14" s="107">
        <f>I15+I16+I20+I24+I25+I26+I29+I36</f>
        <v>276668373</v>
      </c>
      <c r="J14" s="107">
        <f>J15+J16+J20+J24+J25+J26+J29+J36</f>
        <v>764198127</v>
      </c>
      <c r="K14" s="107">
        <f>K15+K16+K20+K24+K25+K26+K29+K36</f>
        <v>333692282</v>
      </c>
    </row>
    <row r="15" spans="1:11" ht="12.75" customHeight="1" x14ac:dyDescent="0.2">
      <c r="A15" s="196" t="s">
        <v>104</v>
      </c>
      <c r="B15" s="196"/>
      <c r="C15" s="196"/>
      <c r="D15" s="196"/>
      <c r="E15" s="196"/>
      <c r="F15" s="196"/>
      <c r="G15" s="14">
        <v>8</v>
      </c>
      <c r="H15" s="108">
        <v>0</v>
      </c>
      <c r="I15" s="108">
        <v>0</v>
      </c>
      <c r="J15" s="108">
        <v>0</v>
      </c>
      <c r="K15" s="108">
        <v>0</v>
      </c>
    </row>
    <row r="16" spans="1:11" ht="12.75" customHeight="1" x14ac:dyDescent="0.2">
      <c r="A16" s="200" t="s">
        <v>439</v>
      </c>
      <c r="B16" s="200"/>
      <c r="C16" s="200"/>
      <c r="D16" s="200"/>
      <c r="E16" s="200"/>
      <c r="F16" s="200"/>
      <c r="G16" s="15">
        <v>9</v>
      </c>
      <c r="H16" s="107">
        <f>SUM(H17:H19)</f>
        <v>389717606</v>
      </c>
      <c r="I16" s="107">
        <f>SUM(I17:I19)</f>
        <v>151110162</v>
      </c>
      <c r="J16" s="107">
        <f>SUM(J17:J19)</f>
        <v>424549586</v>
      </c>
      <c r="K16" s="107">
        <f>SUM(K17:K19)</f>
        <v>223838363</v>
      </c>
    </row>
    <row r="17" spans="1:11" ht="12.75" customHeight="1" x14ac:dyDescent="0.2">
      <c r="A17" s="231" t="s">
        <v>120</v>
      </c>
      <c r="B17" s="231"/>
      <c r="C17" s="231"/>
      <c r="D17" s="231"/>
      <c r="E17" s="231"/>
      <c r="F17" s="231"/>
      <c r="G17" s="14">
        <v>10</v>
      </c>
      <c r="H17" s="22">
        <v>91207684</v>
      </c>
      <c r="I17" s="22">
        <v>28328653</v>
      </c>
      <c r="J17" s="108">
        <v>114610915</v>
      </c>
      <c r="K17" s="108">
        <f>J17-51047243</f>
        <v>63563672</v>
      </c>
    </row>
    <row r="18" spans="1:11" ht="12.75" customHeight="1" x14ac:dyDescent="0.2">
      <c r="A18" s="231" t="s">
        <v>121</v>
      </c>
      <c r="B18" s="231"/>
      <c r="C18" s="231"/>
      <c r="D18" s="231"/>
      <c r="E18" s="231"/>
      <c r="F18" s="231"/>
      <c r="G18" s="14">
        <v>11</v>
      </c>
      <c r="H18" s="22">
        <v>0</v>
      </c>
      <c r="I18" s="22">
        <f t="shared" ref="I18" si="1">H18</f>
        <v>0</v>
      </c>
      <c r="J18" s="108">
        <v>0</v>
      </c>
      <c r="K18" s="108">
        <f t="shared" ref="K18" si="2">J18</f>
        <v>0</v>
      </c>
    </row>
    <row r="19" spans="1:11" ht="12.75" customHeight="1" x14ac:dyDescent="0.2">
      <c r="A19" s="231" t="s">
        <v>122</v>
      </c>
      <c r="B19" s="231"/>
      <c r="C19" s="231"/>
      <c r="D19" s="231"/>
      <c r="E19" s="231"/>
      <c r="F19" s="231"/>
      <c r="G19" s="14">
        <v>12</v>
      </c>
      <c r="H19" s="22">
        <v>298509922</v>
      </c>
      <c r="I19" s="22">
        <v>122781509</v>
      </c>
      <c r="J19" s="108">
        <v>309938671</v>
      </c>
      <c r="K19" s="108">
        <f>J19-149663980</f>
        <v>160274691</v>
      </c>
    </row>
    <row r="20" spans="1:11" ht="12.75" customHeight="1" x14ac:dyDescent="0.2">
      <c r="A20" s="200" t="s">
        <v>440</v>
      </c>
      <c r="B20" s="200"/>
      <c r="C20" s="200"/>
      <c r="D20" s="200"/>
      <c r="E20" s="200"/>
      <c r="F20" s="200"/>
      <c r="G20" s="15">
        <v>13</v>
      </c>
      <c r="H20" s="107">
        <f>SUM(H21:H23)</f>
        <v>164588449</v>
      </c>
      <c r="I20" s="107">
        <f>SUM(I21:I23)</f>
        <v>51026895</v>
      </c>
      <c r="J20" s="107">
        <f>SUM(J21:J23)</f>
        <v>147211416</v>
      </c>
      <c r="K20" s="107">
        <f>SUM(K21:K23)</f>
        <v>50017328</v>
      </c>
    </row>
    <row r="21" spans="1:11" ht="12.75" customHeight="1" x14ac:dyDescent="0.2">
      <c r="A21" s="231" t="s">
        <v>105</v>
      </c>
      <c r="B21" s="231"/>
      <c r="C21" s="231"/>
      <c r="D21" s="231"/>
      <c r="E21" s="231"/>
      <c r="F21" s="231"/>
      <c r="G21" s="14">
        <v>14</v>
      </c>
      <c r="H21" s="22">
        <v>91867421</v>
      </c>
      <c r="I21" s="22">
        <v>28807659</v>
      </c>
      <c r="J21" s="108">
        <v>85314087</v>
      </c>
      <c r="K21" s="108">
        <f>J21-56445235</f>
        <v>28868852</v>
      </c>
    </row>
    <row r="22" spans="1:11" ht="12.75" customHeight="1" x14ac:dyDescent="0.2">
      <c r="A22" s="231" t="s">
        <v>106</v>
      </c>
      <c r="B22" s="231"/>
      <c r="C22" s="231"/>
      <c r="D22" s="231"/>
      <c r="E22" s="231"/>
      <c r="F22" s="231"/>
      <c r="G22" s="14">
        <v>15</v>
      </c>
      <c r="H22" s="22">
        <v>42857008</v>
      </c>
      <c r="I22" s="22">
        <v>12964859</v>
      </c>
      <c r="J22" s="108">
        <v>35147569</v>
      </c>
      <c r="K22" s="108">
        <f>J22-23098816</f>
        <v>12048753</v>
      </c>
    </row>
    <row r="23" spans="1:11" ht="12.75" customHeight="1" x14ac:dyDescent="0.2">
      <c r="A23" s="231" t="s">
        <v>107</v>
      </c>
      <c r="B23" s="231"/>
      <c r="C23" s="231"/>
      <c r="D23" s="231"/>
      <c r="E23" s="231"/>
      <c r="F23" s="231"/>
      <c r="G23" s="14">
        <v>16</v>
      </c>
      <c r="H23" s="22">
        <v>29864020</v>
      </c>
      <c r="I23" s="22">
        <v>9254377</v>
      </c>
      <c r="J23" s="108">
        <v>26749760</v>
      </c>
      <c r="K23" s="108">
        <f>J23-17650037</f>
        <v>9099723</v>
      </c>
    </row>
    <row r="24" spans="1:11" ht="12.75" customHeight="1" x14ac:dyDescent="0.2">
      <c r="A24" s="196" t="s">
        <v>108</v>
      </c>
      <c r="B24" s="196"/>
      <c r="C24" s="196"/>
      <c r="D24" s="196"/>
      <c r="E24" s="196"/>
      <c r="F24" s="196"/>
      <c r="G24" s="14">
        <v>17</v>
      </c>
      <c r="H24" s="22">
        <v>159954642</v>
      </c>
      <c r="I24" s="22">
        <v>50738390</v>
      </c>
      <c r="J24" s="108">
        <v>151454271</v>
      </c>
      <c r="K24" s="108">
        <f>J24-99589474</f>
        <v>51864797</v>
      </c>
    </row>
    <row r="25" spans="1:11" ht="12.75" customHeight="1" x14ac:dyDescent="0.2">
      <c r="A25" s="196" t="s">
        <v>109</v>
      </c>
      <c r="B25" s="196"/>
      <c r="C25" s="196"/>
      <c r="D25" s="196"/>
      <c r="E25" s="196"/>
      <c r="F25" s="196"/>
      <c r="G25" s="14">
        <v>18</v>
      </c>
      <c r="H25" s="22">
        <v>53301233</v>
      </c>
      <c r="I25" s="22">
        <v>19688441</v>
      </c>
      <c r="J25" s="108">
        <v>33770967</v>
      </c>
      <c r="K25" s="108">
        <f>J25-26247312</f>
        <v>7523655</v>
      </c>
    </row>
    <row r="26" spans="1:11" ht="12.75" customHeight="1" x14ac:dyDescent="0.2">
      <c r="A26" s="200" t="s">
        <v>441</v>
      </c>
      <c r="B26" s="200"/>
      <c r="C26" s="200"/>
      <c r="D26" s="200"/>
      <c r="E26" s="200"/>
      <c r="F26" s="200"/>
      <c r="G26" s="15">
        <v>19</v>
      </c>
      <c r="H26" s="107">
        <f>H27+H28</f>
        <v>48571</v>
      </c>
      <c r="I26" s="107">
        <f>I27+I28</f>
        <v>48571</v>
      </c>
      <c r="J26" s="107">
        <f>J27+J28</f>
        <v>0</v>
      </c>
      <c r="K26" s="107">
        <f>K27+K28</f>
        <v>0</v>
      </c>
    </row>
    <row r="27" spans="1:11" ht="12.75" customHeight="1" x14ac:dyDescent="0.2">
      <c r="A27" s="231" t="s">
        <v>123</v>
      </c>
      <c r="B27" s="231"/>
      <c r="C27" s="231"/>
      <c r="D27" s="231"/>
      <c r="E27" s="231"/>
      <c r="F27" s="231"/>
      <c r="G27" s="14">
        <v>20</v>
      </c>
      <c r="H27" s="108">
        <v>0</v>
      </c>
      <c r="I27" s="108">
        <v>0</v>
      </c>
      <c r="J27" s="108">
        <v>0</v>
      </c>
      <c r="K27" s="108">
        <v>0</v>
      </c>
    </row>
    <row r="28" spans="1:11" ht="12.75" customHeight="1" x14ac:dyDescent="0.2">
      <c r="A28" s="231" t="s">
        <v>124</v>
      </c>
      <c r="B28" s="231"/>
      <c r="C28" s="231"/>
      <c r="D28" s="231"/>
      <c r="E28" s="231"/>
      <c r="F28" s="231"/>
      <c r="G28" s="14">
        <v>21</v>
      </c>
      <c r="H28" s="22">
        <v>48571</v>
      </c>
      <c r="I28" s="22">
        <v>48571</v>
      </c>
      <c r="J28" s="108">
        <v>0</v>
      </c>
      <c r="K28" s="108">
        <v>0</v>
      </c>
    </row>
    <row r="29" spans="1:11" ht="12.75" customHeight="1" x14ac:dyDescent="0.2">
      <c r="A29" s="200" t="s">
        <v>442</v>
      </c>
      <c r="B29" s="200"/>
      <c r="C29" s="200"/>
      <c r="D29" s="200"/>
      <c r="E29" s="200"/>
      <c r="F29" s="200"/>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08">
        <v>0</v>
      </c>
      <c r="I30" s="108">
        <v>0</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0</v>
      </c>
      <c r="I32" s="108">
        <v>0</v>
      </c>
      <c r="J32" s="108">
        <v>0</v>
      </c>
      <c r="K32" s="108">
        <v>0</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0</v>
      </c>
      <c r="K34" s="108">
        <v>0</v>
      </c>
    </row>
    <row r="35" spans="1:11" ht="12.75" customHeight="1" x14ac:dyDescent="0.2">
      <c r="A35" s="231" t="s">
        <v>130</v>
      </c>
      <c r="B35" s="231"/>
      <c r="C35" s="231"/>
      <c r="D35" s="231"/>
      <c r="E35" s="231"/>
      <c r="F35" s="231"/>
      <c r="G35" s="14">
        <v>28</v>
      </c>
      <c r="H35" s="108">
        <v>0</v>
      </c>
      <c r="I35" s="108">
        <v>0</v>
      </c>
      <c r="J35" s="108">
        <v>0</v>
      </c>
      <c r="K35" s="108">
        <v>0</v>
      </c>
    </row>
    <row r="36" spans="1:11" ht="12.75" customHeight="1" x14ac:dyDescent="0.2">
      <c r="A36" s="196" t="s">
        <v>110</v>
      </c>
      <c r="B36" s="196"/>
      <c r="C36" s="196"/>
      <c r="D36" s="196"/>
      <c r="E36" s="196"/>
      <c r="F36" s="196"/>
      <c r="G36" s="14">
        <v>29</v>
      </c>
      <c r="H36" s="22">
        <v>5995506</v>
      </c>
      <c r="I36" s="22">
        <v>4055914</v>
      </c>
      <c r="J36" s="108">
        <v>7211887</v>
      </c>
      <c r="K36" s="108">
        <f>J36-6763748</f>
        <v>448139</v>
      </c>
    </row>
    <row r="37" spans="1:11" ht="12.75" customHeight="1" x14ac:dyDescent="0.2">
      <c r="A37" s="228" t="s">
        <v>360</v>
      </c>
      <c r="B37" s="228"/>
      <c r="C37" s="228"/>
      <c r="D37" s="228"/>
      <c r="E37" s="228"/>
      <c r="F37" s="228"/>
      <c r="G37" s="15">
        <v>30</v>
      </c>
      <c r="H37" s="107">
        <f>SUM(H38:H47)</f>
        <v>34104584</v>
      </c>
      <c r="I37" s="107">
        <f>SUM(I38:I47)</f>
        <v>8846293</v>
      </c>
      <c r="J37" s="107">
        <f>SUM(J38:J47)</f>
        <v>28573141</v>
      </c>
      <c r="K37" s="107">
        <f>SUM(K38:K47)</f>
        <v>10734824</v>
      </c>
    </row>
    <row r="38" spans="1:11" ht="12.75" customHeight="1" x14ac:dyDescent="0.2">
      <c r="A38" s="196" t="s">
        <v>131</v>
      </c>
      <c r="B38" s="196"/>
      <c r="C38" s="196"/>
      <c r="D38" s="196"/>
      <c r="E38" s="196"/>
      <c r="F38" s="196"/>
      <c r="G38" s="14">
        <v>31</v>
      </c>
      <c r="H38" s="22">
        <v>0</v>
      </c>
      <c r="I38" s="22">
        <v>0</v>
      </c>
      <c r="J38" s="108">
        <v>0</v>
      </c>
      <c r="K38" s="108">
        <v>0</v>
      </c>
    </row>
    <row r="39" spans="1:11" ht="25.15" customHeight="1" x14ac:dyDescent="0.2">
      <c r="A39" s="196" t="s">
        <v>132</v>
      </c>
      <c r="B39" s="196"/>
      <c r="C39" s="196"/>
      <c r="D39" s="196"/>
      <c r="E39" s="196"/>
      <c r="F39" s="196"/>
      <c r="G39" s="14">
        <v>32</v>
      </c>
      <c r="H39" s="22">
        <v>0</v>
      </c>
      <c r="I39" s="22">
        <v>0</v>
      </c>
      <c r="J39" s="108">
        <v>0</v>
      </c>
      <c r="K39" s="108">
        <v>0</v>
      </c>
    </row>
    <row r="40" spans="1:11" ht="25.15" customHeight="1" x14ac:dyDescent="0.2">
      <c r="A40" s="196" t="s">
        <v>133</v>
      </c>
      <c r="B40" s="196"/>
      <c r="C40" s="196"/>
      <c r="D40" s="196"/>
      <c r="E40" s="196"/>
      <c r="F40" s="196"/>
      <c r="G40" s="14">
        <v>33</v>
      </c>
      <c r="H40" s="22">
        <v>0</v>
      </c>
      <c r="I40" s="22">
        <v>0</v>
      </c>
      <c r="J40" s="108">
        <v>0</v>
      </c>
      <c r="K40" s="108">
        <v>0</v>
      </c>
    </row>
    <row r="41" spans="1:11" ht="25.15" customHeight="1" x14ac:dyDescent="0.2">
      <c r="A41" s="196" t="s">
        <v>134</v>
      </c>
      <c r="B41" s="196"/>
      <c r="C41" s="196"/>
      <c r="D41" s="196"/>
      <c r="E41" s="196"/>
      <c r="F41" s="196"/>
      <c r="G41" s="14">
        <v>34</v>
      </c>
      <c r="H41" s="22">
        <v>0</v>
      </c>
      <c r="I41" s="22">
        <v>0</v>
      </c>
      <c r="J41" s="108">
        <v>0</v>
      </c>
      <c r="K41" s="108">
        <v>0</v>
      </c>
    </row>
    <row r="42" spans="1:11" ht="25.15" customHeight="1" x14ac:dyDescent="0.2">
      <c r="A42" s="196" t="s">
        <v>135</v>
      </c>
      <c r="B42" s="196"/>
      <c r="C42" s="196"/>
      <c r="D42" s="196"/>
      <c r="E42" s="196"/>
      <c r="F42" s="196"/>
      <c r="G42" s="14">
        <v>35</v>
      </c>
      <c r="H42" s="22">
        <v>0</v>
      </c>
      <c r="I42" s="22">
        <v>0</v>
      </c>
      <c r="J42" s="108">
        <v>0</v>
      </c>
      <c r="K42" s="108">
        <v>0</v>
      </c>
    </row>
    <row r="43" spans="1:11" ht="12.75" customHeight="1" x14ac:dyDescent="0.2">
      <c r="A43" s="196" t="s">
        <v>136</v>
      </c>
      <c r="B43" s="196"/>
      <c r="C43" s="196"/>
      <c r="D43" s="196"/>
      <c r="E43" s="196"/>
      <c r="F43" s="196"/>
      <c r="G43" s="14">
        <v>36</v>
      </c>
      <c r="H43" s="22">
        <v>0</v>
      </c>
      <c r="I43" s="22">
        <v>0</v>
      </c>
      <c r="J43" s="108">
        <v>0</v>
      </c>
      <c r="K43" s="108">
        <v>0</v>
      </c>
    </row>
    <row r="44" spans="1:11" ht="12.75" customHeight="1" x14ac:dyDescent="0.2">
      <c r="A44" s="196" t="s">
        <v>137</v>
      </c>
      <c r="B44" s="196"/>
      <c r="C44" s="196"/>
      <c r="D44" s="196"/>
      <c r="E44" s="196"/>
      <c r="F44" s="196"/>
      <c r="G44" s="14">
        <v>37</v>
      </c>
      <c r="H44" s="22">
        <v>16220</v>
      </c>
      <c r="I44" s="22">
        <v>6327</v>
      </c>
      <c r="J44" s="108">
        <v>70846</v>
      </c>
      <c r="K44" s="108">
        <f>J44-46430</f>
        <v>24416</v>
      </c>
    </row>
    <row r="45" spans="1:11" ht="12.75" customHeight="1" x14ac:dyDescent="0.2">
      <c r="A45" s="196" t="s">
        <v>138</v>
      </c>
      <c r="B45" s="196"/>
      <c r="C45" s="196"/>
      <c r="D45" s="196"/>
      <c r="E45" s="196"/>
      <c r="F45" s="196"/>
      <c r="G45" s="14">
        <v>38</v>
      </c>
      <c r="H45" s="22">
        <v>34088364</v>
      </c>
      <c r="I45" s="22">
        <v>8839966</v>
      </c>
      <c r="J45" s="108">
        <v>28502295</v>
      </c>
      <c r="K45" s="108">
        <f>J45-17791887</f>
        <v>10710408</v>
      </c>
    </row>
    <row r="46" spans="1:11" ht="12.75" customHeight="1" x14ac:dyDescent="0.2">
      <c r="A46" s="196" t="s">
        <v>139</v>
      </c>
      <c r="B46" s="196"/>
      <c r="C46" s="196"/>
      <c r="D46" s="196"/>
      <c r="E46" s="196"/>
      <c r="F46" s="196"/>
      <c r="G46" s="14">
        <v>39</v>
      </c>
      <c r="H46" s="22">
        <v>0</v>
      </c>
      <c r="I46" s="22">
        <f t="shared" ref="I46" si="3">H46</f>
        <v>0</v>
      </c>
      <c r="J46" s="108">
        <v>0</v>
      </c>
      <c r="K46" s="108">
        <f t="shared" ref="K46:K47" si="4">J46</f>
        <v>0</v>
      </c>
    </row>
    <row r="47" spans="1:11" ht="12.75" customHeight="1" x14ac:dyDescent="0.2">
      <c r="A47" s="196" t="s">
        <v>140</v>
      </c>
      <c r="B47" s="196"/>
      <c r="C47" s="196"/>
      <c r="D47" s="196"/>
      <c r="E47" s="196"/>
      <c r="F47" s="196"/>
      <c r="G47" s="14">
        <v>40</v>
      </c>
      <c r="H47" s="22">
        <v>0</v>
      </c>
      <c r="I47" s="22">
        <f>+H47</f>
        <v>0</v>
      </c>
      <c r="J47" s="108">
        <v>0</v>
      </c>
      <c r="K47" s="108">
        <f t="shared" si="4"/>
        <v>0</v>
      </c>
    </row>
    <row r="48" spans="1:11" ht="12.75" customHeight="1" x14ac:dyDescent="0.2">
      <c r="A48" s="228" t="s">
        <v>361</v>
      </c>
      <c r="B48" s="228"/>
      <c r="C48" s="228"/>
      <c r="D48" s="228"/>
      <c r="E48" s="228"/>
      <c r="F48" s="228"/>
      <c r="G48" s="15">
        <v>41</v>
      </c>
      <c r="H48" s="107">
        <f>SUM(H49:H55)</f>
        <v>55322861</v>
      </c>
      <c r="I48" s="107">
        <f>SUM(I49:I55)</f>
        <v>12259320</v>
      </c>
      <c r="J48" s="107">
        <f>SUM(J49:J55)</f>
        <v>48576104</v>
      </c>
      <c r="K48" s="107">
        <f>SUM(K49:K55)</f>
        <v>20180890</v>
      </c>
    </row>
    <row r="49" spans="1:11" ht="25.15" customHeight="1" x14ac:dyDescent="0.2">
      <c r="A49" s="196" t="s">
        <v>141</v>
      </c>
      <c r="B49" s="196"/>
      <c r="C49" s="196"/>
      <c r="D49" s="196"/>
      <c r="E49" s="196"/>
      <c r="F49" s="196"/>
      <c r="G49" s="14">
        <v>42</v>
      </c>
      <c r="H49" s="22">
        <v>3646575</v>
      </c>
      <c r="I49" s="22">
        <v>1260274</v>
      </c>
      <c r="J49" s="108">
        <v>5086027</v>
      </c>
      <c r="K49" s="108">
        <f>J49-3372055</f>
        <v>1713972</v>
      </c>
    </row>
    <row r="50" spans="1:11" ht="12.75" customHeight="1" x14ac:dyDescent="0.2">
      <c r="A50" s="221" t="s">
        <v>142</v>
      </c>
      <c r="B50" s="221"/>
      <c r="C50" s="221"/>
      <c r="D50" s="221"/>
      <c r="E50" s="221"/>
      <c r="F50" s="221"/>
      <c r="G50" s="14">
        <v>43</v>
      </c>
      <c r="H50" s="22">
        <v>0</v>
      </c>
      <c r="I50" s="22">
        <v>0</v>
      </c>
      <c r="J50" s="108">
        <v>0</v>
      </c>
      <c r="K50" s="108">
        <f t="shared" ref="K50:K54" si="5">J50</f>
        <v>0</v>
      </c>
    </row>
    <row r="51" spans="1:11" ht="12.75" customHeight="1" x14ac:dyDescent="0.2">
      <c r="A51" s="221" t="s">
        <v>143</v>
      </c>
      <c r="B51" s="221"/>
      <c r="C51" s="221"/>
      <c r="D51" s="221"/>
      <c r="E51" s="221"/>
      <c r="F51" s="221"/>
      <c r="G51" s="14">
        <v>44</v>
      </c>
      <c r="H51" s="22">
        <v>11690425</v>
      </c>
      <c r="I51" s="22">
        <v>3719554</v>
      </c>
      <c r="J51" s="108">
        <v>10187304</v>
      </c>
      <c r="K51" s="108">
        <f>J51-6467180</f>
        <v>3720124</v>
      </c>
    </row>
    <row r="52" spans="1:11" ht="12.75" customHeight="1" x14ac:dyDescent="0.2">
      <c r="A52" s="221" t="s">
        <v>144</v>
      </c>
      <c r="B52" s="221"/>
      <c r="C52" s="221"/>
      <c r="D52" s="221"/>
      <c r="E52" s="221"/>
      <c r="F52" s="221"/>
      <c r="G52" s="14">
        <v>45</v>
      </c>
      <c r="H52" s="22">
        <v>39914372</v>
      </c>
      <c r="I52" s="22">
        <v>7258492</v>
      </c>
      <c r="J52" s="108">
        <v>33265012</v>
      </c>
      <c r="K52" s="108">
        <f>J52-18518218</f>
        <v>14746794</v>
      </c>
    </row>
    <row r="53" spans="1:11" ht="12.75" customHeight="1" x14ac:dyDescent="0.2">
      <c r="A53" s="221" t="s">
        <v>145</v>
      </c>
      <c r="B53" s="221"/>
      <c r="C53" s="221"/>
      <c r="D53" s="221"/>
      <c r="E53" s="221"/>
      <c r="F53" s="221"/>
      <c r="G53" s="14">
        <v>46</v>
      </c>
      <c r="H53" s="22">
        <v>0</v>
      </c>
      <c r="I53" s="22">
        <v>0</v>
      </c>
      <c r="J53" s="108">
        <v>0</v>
      </c>
      <c r="K53" s="108">
        <f t="shared" si="5"/>
        <v>0</v>
      </c>
    </row>
    <row r="54" spans="1:11" ht="12.75" customHeight="1" x14ac:dyDescent="0.2">
      <c r="A54" s="221" t="s">
        <v>146</v>
      </c>
      <c r="B54" s="221"/>
      <c r="C54" s="221"/>
      <c r="D54" s="221"/>
      <c r="E54" s="221"/>
      <c r="F54" s="221"/>
      <c r="G54" s="14">
        <v>47</v>
      </c>
      <c r="H54" s="22">
        <v>0</v>
      </c>
      <c r="I54" s="22">
        <v>0</v>
      </c>
      <c r="J54" s="108">
        <v>0</v>
      </c>
      <c r="K54" s="108">
        <f t="shared" si="5"/>
        <v>0</v>
      </c>
    </row>
    <row r="55" spans="1:11" ht="12.75" customHeight="1" x14ac:dyDescent="0.2">
      <c r="A55" s="221" t="s">
        <v>147</v>
      </c>
      <c r="B55" s="221"/>
      <c r="C55" s="221"/>
      <c r="D55" s="221"/>
      <c r="E55" s="221"/>
      <c r="F55" s="221"/>
      <c r="G55" s="14">
        <v>48</v>
      </c>
      <c r="H55" s="22">
        <v>71489</v>
      </c>
      <c r="I55" s="22">
        <v>21000</v>
      </c>
      <c r="J55" s="108">
        <v>37761</v>
      </c>
      <c r="K55" s="108">
        <f>J55-37761</f>
        <v>0</v>
      </c>
    </row>
    <row r="56" spans="1:11" ht="22.15" customHeight="1" x14ac:dyDescent="0.2">
      <c r="A56" s="230" t="s">
        <v>148</v>
      </c>
      <c r="B56" s="230"/>
      <c r="C56" s="230"/>
      <c r="D56" s="230"/>
      <c r="E56" s="230"/>
      <c r="F56" s="230"/>
      <c r="G56" s="14">
        <v>49</v>
      </c>
      <c r="H56" s="22">
        <v>0</v>
      </c>
      <c r="I56" s="22">
        <v>0</v>
      </c>
      <c r="J56" s="108">
        <v>0</v>
      </c>
      <c r="K56" s="108">
        <v>0</v>
      </c>
    </row>
    <row r="57" spans="1:11" ht="12.75" customHeight="1" x14ac:dyDescent="0.2">
      <c r="A57" s="230" t="s">
        <v>149</v>
      </c>
      <c r="B57" s="230"/>
      <c r="C57" s="230"/>
      <c r="D57" s="230"/>
      <c r="E57" s="230"/>
      <c r="F57" s="230"/>
      <c r="G57" s="14">
        <v>50</v>
      </c>
      <c r="H57" s="22">
        <v>0</v>
      </c>
      <c r="I57" s="22">
        <v>0</v>
      </c>
      <c r="J57" s="108">
        <v>0</v>
      </c>
      <c r="K57" s="108">
        <v>0</v>
      </c>
    </row>
    <row r="58" spans="1:11" ht="24.6" customHeight="1" x14ac:dyDescent="0.2">
      <c r="A58" s="230" t="s">
        <v>150</v>
      </c>
      <c r="B58" s="230"/>
      <c r="C58" s="230"/>
      <c r="D58" s="230"/>
      <c r="E58" s="230"/>
      <c r="F58" s="230"/>
      <c r="G58" s="14">
        <v>51</v>
      </c>
      <c r="H58" s="22">
        <v>0</v>
      </c>
      <c r="I58" s="22">
        <v>0</v>
      </c>
      <c r="J58" s="108">
        <v>0</v>
      </c>
      <c r="K58" s="108">
        <v>0</v>
      </c>
    </row>
    <row r="59" spans="1:11" ht="12.75" customHeight="1" x14ac:dyDescent="0.2">
      <c r="A59" s="230" t="s">
        <v>151</v>
      </c>
      <c r="B59" s="230"/>
      <c r="C59" s="230"/>
      <c r="D59" s="230"/>
      <c r="E59" s="230"/>
      <c r="F59" s="230"/>
      <c r="G59" s="14">
        <v>52</v>
      </c>
      <c r="H59" s="22">
        <v>0</v>
      </c>
      <c r="I59" s="22">
        <v>0</v>
      </c>
      <c r="J59" s="108">
        <v>0</v>
      </c>
      <c r="K59" s="108">
        <v>0</v>
      </c>
    </row>
    <row r="60" spans="1:11" ht="12.75" customHeight="1" x14ac:dyDescent="0.2">
      <c r="A60" s="228" t="s">
        <v>362</v>
      </c>
      <c r="B60" s="228"/>
      <c r="C60" s="228"/>
      <c r="D60" s="228"/>
      <c r="E60" s="228"/>
      <c r="F60" s="228"/>
      <c r="G60" s="15">
        <v>53</v>
      </c>
      <c r="H60" s="107">
        <f>H8+H37+H56+H57</f>
        <v>582959862</v>
      </c>
      <c r="I60" s="107">
        <f t="shared" ref="I60:K60" si="6">I8+I37+I56+I57</f>
        <v>217893108</v>
      </c>
      <c r="J60" s="107">
        <f t="shared" si="6"/>
        <v>646123732</v>
      </c>
      <c r="K60" s="107">
        <f t="shared" si="6"/>
        <v>334406782</v>
      </c>
    </row>
    <row r="61" spans="1:11" ht="12.75" customHeight="1" x14ac:dyDescent="0.2">
      <c r="A61" s="228" t="s">
        <v>363</v>
      </c>
      <c r="B61" s="228"/>
      <c r="C61" s="228"/>
      <c r="D61" s="228"/>
      <c r="E61" s="228"/>
      <c r="F61" s="228"/>
      <c r="G61" s="15">
        <v>54</v>
      </c>
      <c r="H61" s="107">
        <f>H14+H48+H58+H59</f>
        <v>828928868</v>
      </c>
      <c r="I61" s="107">
        <f t="shared" ref="I61:K61" si="7">I14+I48+I58+I59</f>
        <v>288927693</v>
      </c>
      <c r="J61" s="107">
        <f t="shared" si="7"/>
        <v>812774231</v>
      </c>
      <c r="K61" s="107">
        <f t="shared" si="7"/>
        <v>353873172</v>
      </c>
    </row>
    <row r="62" spans="1:11" ht="12.75" customHeight="1" x14ac:dyDescent="0.2">
      <c r="A62" s="228" t="s">
        <v>364</v>
      </c>
      <c r="B62" s="228"/>
      <c r="C62" s="228"/>
      <c r="D62" s="228"/>
      <c r="E62" s="228"/>
      <c r="F62" s="228"/>
      <c r="G62" s="15">
        <v>55</v>
      </c>
      <c r="H62" s="107">
        <f>H60-H61</f>
        <v>-245969006</v>
      </c>
      <c r="I62" s="107">
        <f t="shared" ref="I62:K62" si="8">I60-I61</f>
        <v>-71034585</v>
      </c>
      <c r="J62" s="107">
        <f t="shared" si="8"/>
        <v>-166650499</v>
      </c>
      <c r="K62" s="107">
        <f t="shared" si="8"/>
        <v>-19466390</v>
      </c>
    </row>
    <row r="63" spans="1:11" ht="12.75" customHeight="1" x14ac:dyDescent="0.2">
      <c r="A63" s="229" t="s">
        <v>365</v>
      </c>
      <c r="B63" s="229"/>
      <c r="C63" s="229"/>
      <c r="D63" s="229"/>
      <c r="E63" s="229"/>
      <c r="F63" s="229"/>
      <c r="G63" s="15">
        <v>56</v>
      </c>
      <c r="H63" s="107">
        <f>+IF((H60-H61)&gt;0,(H60-H61),0)</f>
        <v>0</v>
      </c>
      <c r="I63" s="107">
        <f t="shared" ref="I63:K63" si="9">+IF((I60-I61)&gt;0,(I60-I61),0)</f>
        <v>0</v>
      </c>
      <c r="J63" s="107">
        <f t="shared" si="9"/>
        <v>0</v>
      </c>
      <c r="K63" s="107">
        <f t="shared" si="9"/>
        <v>0</v>
      </c>
    </row>
    <row r="64" spans="1:11" ht="12.75" customHeight="1" x14ac:dyDescent="0.2">
      <c r="A64" s="229" t="s">
        <v>366</v>
      </c>
      <c r="B64" s="229"/>
      <c r="C64" s="229"/>
      <c r="D64" s="229"/>
      <c r="E64" s="229"/>
      <c r="F64" s="229"/>
      <c r="G64" s="15">
        <v>57</v>
      </c>
      <c r="H64" s="107">
        <f>+IF((H60-H61)&lt;0,(H60-H61),0)</f>
        <v>-245969006</v>
      </c>
      <c r="I64" s="107">
        <f t="shared" ref="I64:K64" si="10">+IF((I60-I61)&lt;0,(I60-I61),0)</f>
        <v>-71034585</v>
      </c>
      <c r="J64" s="107">
        <f t="shared" si="10"/>
        <v>-166650499</v>
      </c>
      <c r="K64" s="107">
        <f t="shared" si="10"/>
        <v>-19466390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8" t="s">
        <v>367</v>
      </c>
      <c r="B66" s="228"/>
      <c r="C66" s="228"/>
      <c r="D66" s="228"/>
      <c r="E66" s="228"/>
      <c r="F66" s="228"/>
      <c r="G66" s="15">
        <v>59</v>
      </c>
      <c r="H66" s="107">
        <f>H62-H65</f>
        <v>-245969006</v>
      </c>
      <c r="I66" s="107">
        <f t="shared" ref="I66:K66" si="11">I62-I65</f>
        <v>-71034585</v>
      </c>
      <c r="J66" s="107">
        <f t="shared" si="11"/>
        <v>-166650499</v>
      </c>
      <c r="K66" s="107">
        <f t="shared" si="11"/>
        <v>-19466390</v>
      </c>
    </row>
    <row r="67" spans="1:11" ht="12.75" customHeight="1" x14ac:dyDescent="0.2">
      <c r="A67" s="229" t="s">
        <v>368</v>
      </c>
      <c r="B67" s="229"/>
      <c r="C67" s="229"/>
      <c r="D67" s="229"/>
      <c r="E67" s="229"/>
      <c r="F67" s="229"/>
      <c r="G67" s="15">
        <v>60</v>
      </c>
      <c r="H67" s="107">
        <f>+IF((H62-H65)&gt;0,(H62-H65),0)</f>
        <v>0</v>
      </c>
      <c r="I67" s="107">
        <f t="shared" ref="I67:K67" si="12">+IF((I62-I65)&gt;0,(I62-I65),0)</f>
        <v>0</v>
      </c>
      <c r="J67" s="107">
        <f t="shared" si="12"/>
        <v>0</v>
      </c>
      <c r="K67" s="107">
        <f t="shared" si="12"/>
        <v>0</v>
      </c>
    </row>
    <row r="68" spans="1:11" ht="12.75" customHeight="1" x14ac:dyDescent="0.2">
      <c r="A68" s="229" t="s">
        <v>369</v>
      </c>
      <c r="B68" s="229"/>
      <c r="C68" s="229"/>
      <c r="D68" s="229"/>
      <c r="E68" s="229"/>
      <c r="F68" s="229"/>
      <c r="G68" s="15">
        <v>61</v>
      </c>
      <c r="H68" s="107">
        <f>+IF((H62-H65)&lt;0,(H62-H65),0)</f>
        <v>-245969006</v>
      </c>
      <c r="I68" s="107">
        <f t="shared" ref="I68:K68" si="13">+IF((I62-I65)&lt;0,(I62-I65),0)</f>
        <v>-71034585</v>
      </c>
      <c r="J68" s="107">
        <f t="shared" si="13"/>
        <v>-166650499</v>
      </c>
      <c r="K68" s="107">
        <f t="shared" si="13"/>
        <v>-19466390</v>
      </c>
    </row>
    <row r="69" spans="1:11" x14ac:dyDescent="0.2">
      <c r="A69" s="222" t="s">
        <v>152</v>
      </c>
      <c r="B69" s="222"/>
      <c r="C69" s="222"/>
      <c r="D69" s="222"/>
      <c r="E69" s="222"/>
      <c r="F69" s="222"/>
      <c r="G69" s="223"/>
      <c r="H69" s="223"/>
      <c r="I69" s="223"/>
      <c r="J69" s="224"/>
      <c r="K69" s="224"/>
    </row>
    <row r="70" spans="1:11" ht="22.15" customHeight="1" x14ac:dyDescent="0.2">
      <c r="A70" s="228" t="s">
        <v>370</v>
      </c>
      <c r="B70" s="228"/>
      <c r="C70" s="228"/>
      <c r="D70" s="228"/>
      <c r="E70" s="228"/>
      <c r="F70" s="228"/>
      <c r="G70" s="15">
        <v>62</v>
      </c>
      <c r="H70" s="107">
        <f>H71-H72</f>
        <v>0</v>
      </c>
      <c r="I70" s="107">
        <f>I71-I72</f>
        <v>0</v>
      </c>
      <c r="J70" s="107">
        <f>J71-J72</f>
        <v>0</v>
      </c>
      <c r="K70" s="107">
        <f>K71-K72</f>
        <v>0</v>
      </c>
    </row>
    <row r="71" spans="1:11" ht="12.75" customHeight="1" x14ac:dyDescent="0.2">
      <c r="A71" s="221" t="s">
        <v>153</v>
      </c>
      <c r="B71" s="221"/>
      <c r="C71" s="221"/>
      <c r="D71" s="221"/>
      <c r="E71" s="221"/>
      <c r="F71" s="221"/>
      <c r="G71" s="14">
        <v>63</v>
      </c>
      <c r="H71" s="108">
        <v>0</v>
      </c>
      <c r="I71" s="108">
        <v>0</v>
      </c>
      <c r="J71" s="108">
        <v>0</v>
      </c>
      <c r="K71" s="108">
        <v>0</v>
      </c>
    </row>
    <row r="72" spans="1:11" ht="12.75" customHeight="1" x14ac:dyDescent="0.2">
      <c r="A72" s="221" t="s">
        <v>154</v>
      </c>
      <c r="B72" s="221"/>
      <c r="C72" s="221"/>
      <c r="D72" s="221"/>
      <c r="E72" s="221"/>
      <c r="F72" s="221"/>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f>J75-J76</f>
        <v>0</v>
      </c>
      <c r="K74" s="130">
        <f>K75-K76</f>
        <v>0</v>
      </c>
    </row>
    <row r="75" spans="1:11" ht="12.75" customHeight="1" x14ac:dyDescent="0.2">
      <c r="A75" s="229" t="s">
        <v>372</v>
      </c>
      <c r="B75" s="229"/>
      <c r="C75" s="229"/>
      <c r="D75" s="229"/>
      <c r="E75" s="229"/>
      <c r="F75" s="229"/>
      <c r="G75" s="15">
        <v>67</v>
      </c>
      <c r="H75" s="130">
        <v>0</v>
      </c>
      <c r="I75" s="130">
        <v>0</v>
      </c>
      <c r="J75" s="130">
        <f>J76-J77</f>
        <v>0</v>
      </c>
      <c r="K75" s="130">
        <f>K76-K77</f>
        <v>0</v>
      </c>
    </row>
    <row r="76" spans="1:11" x14ac:dyDescent="0.2">
      <c r="A76" s="222" t="s">
        <v>156</v>
      </c>
      <c r="B76" s="222"/>
      <c r="C76" s="222"/>
      <c r="D76" s="222"/>
      <c r="E76" s="222"/>
      <c r="F76" s="222"/>
      <c r="G76" s="223"/>
      <c r="H76" s="223"/>
      <c r="I76" s="223"/>
      <c r="J76" s="224"/>
      <c r="K76" s="224"/>
    </row>
    <row r="77" spans="1:11" ht="12.75" customHeight="1" x14ac:dyDescent="0.2">
      <c r="A77" s="228" t="s">
        <v>373</v>
      </c>
      <c r="B77" s="228"/>
      <c r="C77" s="228"/>
      <c r="D77" s="228"/>
      <c r="E77" s="228"/>
      <c r="F77" s="228"/>
      <c r="G77" s="15">
        <v>68</v>
      </c>
      <c r="H77" s="130">
        <v>0</v>
      </c>
      <c r="I77" s="130">
        <v>0</v>
      </c>
      <c r="J77" s="130">
        <f>J78-J79</f>
        <v>0</v>
      </c>
      <c r="K77" s="130">
        <f>K78-K79</f>
        <v>0</v>
      </c>
    </row>
    <row r="78" spans="1:11" ht="12.75" customHeight="1" x14ac:dyDescent="0.2">
      <c r="A78" s="227" t="s">
        <v>374</v>
      </c>
      <c r="B78" s="227"/>
      <c r="C78" s="227"/>
      <c r="D78" s="227"/>
      <c r="E78" s="227"/>
      <c r="F78" s="227"/>
      <c r="G78" s="95">
        <v>69</v>
      </c>
      <c r="H78" s="109">
        <v>0</v>
      </c>
      <c r="I78" s="109">
        <v>0</v>
      </c>
      <c r="J78" s="109">
        <v>0</v>
      </c>
      <c r="K78" s="109">
        <v>0</v>
      </c>
    </row>
    <row r="79" spans="1:11" ht="12.75" customHeight="1" x14ac:dyDescent="0.2">
      <c r="A79" s="227" t="s">
        <v>375</v>
      </c>
      <c r="B79" s="227"/>
      <c r="C79" s="227"/>
      <c r="D79" s="227"/>
      <c r="E79" s="227"/>
      <c r="F79" s="227"/>
      <c r="G79" s="95">
        <v>70</v>
      </c>
      <c r="H79" s="109">
        <v>0</v>
      </c>
      <c r="I79" s="109">
        <v>0</v>
      </c>
      <c r="J79" s="109">
        <v>0</v>
      </c>
      <c r="K79" s="109">
        <v>0</v>
      </c>
    </row>
    <row r="80" spans="1:11" ht="12.75" customHeight="1" x14ac:dyDescent="0.2">
      <c r="A80" s="228" t="s">
        <v>376</v>
      </c>
      <c r="B80" s="228"/>
      <c r="C80" s="228"/>
      <c r="D80" s="228"/>
      <c r="E80" s="228"/>
      <c r="F80" s="228"/>
      <c r="G80" s="15">
        <v>71</v>
      </c>
      <c r="H80" s="130">
        <v>0</v>
      </c>
      <c r="I80" s="130">
        <v>0</v>
      </c>
      <c r="J80" s="130">
        <v>0</v>
      </c>
      <c r="K80" s="130">
        <v>0</v>
      </c>
    </row>
    <row r="81" spans="1:11" ht="12.75" customHeight="1" x14ac:dyDescent="0.2">
      <c r="A81" s="228" t="s">
        <v>377</v>
      </c>
      <c r="B81" s="228"/>
      <c r="C81" s="228"/>
      <c r="D81" s="228"/>
      <c r="E81" s="228"/>
      <c r="F81" s="228"/>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22" t="s">
        <v>112</v>
      </c>
      <c r="B84" s="222"/>
      <c r="C84" s="222"/>
      <c r="D84" s="222"/>
      <c r="E84" s="222"/>
      <c r="F84" s="222"/>
      <c r="G84" s="223"/>
      <c r="H84" s="223"/>
      <c r="I84" s="223"/>
      <c r="J84" s="224"/>
      <c r="K84" s="224"/>
    </row>
    <row r="85" spans="1:11" ht="12.75" customHeight="1" x14ac:dyDescent="0.2">
      <c r="A85" s="217" t="s">
        <v>380</v>
      </c>
      <c r="B85" s="217"/>
      <c r="C85" s="217"/>
      <c r="D85" s="217"/>
      <c r="E85" s="217"/>
      <c r="F85" s="217"/>
      <c r="G85" s="15">
        <v>75</v>
      </c>
      <c r="H85" s="110">
        <f>H86+H87</f>
        <v>-245969006</v>
      </c>
      <c r="I85" s="110">
        <f>I86+I87</f>
        <v>-245969006</v>
      </c>
      <c r="J85" s="110">
        <f>J86+J87</f>
        <v>-166650499</v>
      </c>
      <c r="K85" s="110">
        <f>K86+K87</f>
        <v>-19466390</v>
      </c>
    </row>
    <row r="86" spans="1:11" ht="12.75" customHeight="1" x14ac:dyDescent="0.2">
      <c r="A86" s="218" t="s">
        <v>157</v>
      </c>
      <c r="B86" s="218"/>
      <c r="C86" s="218"/>
      <c r="D86" s="218"/>
      <c r="E86" s="218"/>
      <c r="F86" s="218"/>
      <c r="G86" s="14">
        <v>76</v>
      </c>
      <c r="H86" s="132">
        <v>-245969006</v>
      </c>
      <c r="I86" s="132">
        <v>-245969006</v>
      </c>
      <c r="J86" s="111">
        <f>J66</f>
        <v>-166650499</v>
      </c>
      <c r="K86" s="111">
        <f>J86+147184109</f>
        <v>-19466390</v>
      </c>
    </row>
    <row r="87" spans="1:11" ht="12.75" customHeight="1" x14ac:dyDescent="0.2">
      <c r="A87" s="218" t="s">
        <v>158</v>
      </c>
      <c r="B87" s="218"/>
      <c r="C87" s="218"/>
      <c r="D87" s="218"/>
      <c r="E87" s="218"/>
      <c r="F87" s="218"/>
      <c r="G87" s="14">
        <v>77</v>
      </c>
      <c r="H87" s="111">
        <v>0</v>
      </c>
      <c r="I87" s="111">
        <v>0</v>
      </c>
      <c r="J87" s="111">
        <v>0</v>
      </c>
      <c r="K87" s="111">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32">
        <v>-245969006</v>
      </c>
      <c r="I89" s="132">
        <v>-71034585</v>
      </c>
      <c r="J89" s="111">
        <f>J85</f>
        <v>-166650499</v>
      </c>
      <c r="K89" s="111">
        <f>K85</f>
        <v>-19466390</v>
      </c>
    </row>
    <row r="90" spans="1:11" ht="24" customHeight="1" x14ac:dyDescent="0.2">
      <c r="A90" s="198" t="s">
        <v>436</v>
      </c>
      <c r="B90" s="198"/>
      <c r="C90" s="198"/>
      <c r="D90" s="198"/>
      <c r="E90" s="198"/>
      <c r="F90" s="198"/>
      <c r="G90" s="15">
        <v>79</v>
      </c>
      <c r="H90" s="128">
        <f>H91+H98</f>
        <v>-887063</v>
      </c>
      <c r="I90" s="128">
        <f>I91+I98</f>
        <v>167766</v>
      </c>
      <c r="J90" s="128">
        <f t="shared" ref="J90:K90" si="14">J91+J98</f>
        <v>569302</v>
      </c>
      <c r="K90" s="128">
        <f t="shared" si="14"/>
        <v>107637</v>
      </c>
    </row>
    <row r="91" spans="1:11" ht="24" customHeight="1" x14ac:dyDescent="0.2">
      <c r="A91" s="219" t="s">
        <v>443</v>
      </c>
      <c r="B91" s="219"/>
      <c r="C91" s="219"/>
      <c r="D91" s="219"/>
      <c r="E91" s="219"/>
      <c r="F91" s="219"/>
      <c r="G91" s="15">
        <v>80</v>
      </c>
      <c r="H91" s="128">
        <f>SUM(H92:H96)</f>
        <v>0</v>
      </c>
      <c r="I91" s="128">
        <f>SUM(I92:I96)</f>
        <v>0</v>
      </c>
      <c r="J91" s="128">
        <f t="shared" ref="J91:K91" si="15">SUM(J92:J96)</f>
        <v>0</v>
      </c>
      <c r="K91" s="128">
        <f t="shared" si="15"/>
        <v>0</v>
      </c>
    </row>
    <row r="92" spans="1:11" ht="25.5" customHeight="1" x14ac:dyDescent="0.2">
      <c r="A92" s="221" t="s">
        <v>381</v>
      </c>
      <c r="B92" s="221"/>
      <c r="C92" s="221"/>
      <c r="D92" s="221"/>
      <c r="E92" s="221"/>
      <c r="F92" s="221"/>
      <c r="G92" s="15">
        <v>81</v>
      </c>
      <c r="H92" s="111">
        <v>0</v>
      </c>
      <c r="I92" s="111">
        <v>0</v>
      </c>
      <c r="J92" s="111">
        <v>0</v>
      </c>
      <c r="K92" s="111">
        <v>0</v>
      </c>
    </row>
    <row r="93" spans="1:11" ht="38.25" customHeight="1" x14ac:dyDescent="0.2">
      <c r="A93" s="221" t="s">
        <v>382</v>
      </c>
      <c r="B93" s="221"/>
      <c r="C93" s="221"/>
      <c r="D93" s="221"/>
      <c r="E93" s="221"/>
      <c r="F93" s="221"/>
      <c r="G93" s="15">
        <v>82</v>
      </c>
      <c r="H93" s="131">
        <v>0</v>
      </c>
      <c r="I93" s="131">
        <v>0</v>
      </c>
      <c r="J93" s="131">
        <v>0</v>
      </c>
      <c r="K93" s="131">
        <v>0</v>
      </c>
    </row>
    <row r="94" spans="1:11" ht="38.25" customHeight="1" x14ac:dyDescent="0.2">
      <c r="A94" s="221" t="s">
        <v>383</v>
      </c>
      <c r="B94" s="221"/>
      <c r="C94" s="221"/>
      <c r="D94" s="221"/>
      <c r="E94" s="221"/>
      <c r="F94" s="221"/>
      <c r="G94" s="15">
        <v>83</v>
      </c>
      <c r="H94" s="111">
        <v>0</v>
      </c>
      <c r="I94" s="111">
        <v>0</v>
      </c>
      <c r="J94" s="111">
        <v>0</v>
      </c>
      <c r="K94" s="111">
        <v>0</v>
      </c>
    </row>
    <row r="95" spans="1:11" x14ac:dyDescent="0.2">
      <c r="A95" s="221" t="s">
        <v>384</v>
      </c>
      <c r="B95" s="221"/>
      <c r="C95" s="221"/>
      <c r="D95" s="221"/>
      <c r="E95" s="221"/>
      <c r="F95" s="221"/>
      <c r="G95" s="15">
        <v>84</v>
      </c>
      <c r="H95" s="111">
        <v>0</v>
      </c>
      <c r="I95" s="111">
        <v>0</v>
      </c>
      <c r="J95" s="111">
        <v>0</v>
      </c>
      <c r="K95" s="111">
        <v>0</v>
      </c>
    </row>
    <row r="96" spans="1:11" x14ac:dyDescent="0.2">
      <c r="A96" s="221" t="s">
        <v>385</v>
      </c>
      <c r="B96" s="221"/>
      <c r="C96" s="221"/>
      <c r="D96" s="221"/>
      <c r="E96" s="221"/>
      <c r="F96" s="221"/>
      <c r="G96" s="15">
        <v>85</v>
      </c>
      <c r="H96" s="111">
        <v>0</v>
      </c>
      <c r="I96" s="111">
        <v>0</v>
      </c>
      <c r="J96" s="111">
        <v>0</v>
      </c>
      <c r="K96" s="111">
        <v>0</v>
      </c>
    </row>
    <row r="97" spans="1:11" ht="26.25" customHeight="1" x14ac:dyDescent="0.2">
      <c r="A97" s="221" t="s">
        <v>386</v>
      </c>
      <c r="B97" s="221"/>
      <c r="C97" s="221"/>
      <c r="D97" s="221"/>
      <c r="E97" s="221"/>
      <c r="F97" s="221"/>
      <c r="G97" s="15">
        <v>86</v>
      </c>
      <c r="H97" s="111">
        <v>0</v>
      </c>
      <c r="I97" s="111">
        <v>0</v>
      </c>
      <c r="J97" s="111">
        <v>0</v>
      </c>
      <c r="K97" s="111">
        <v>0</v>
      </c>
    </row>
    <row r="98" spans="1:11" ht="25.5" customHeight="1" x14ac:dyDescent="0.2">
      <c r="A98" s="219" t="s">
        <v>437</v>
      </c>
      <c r="B98" s="219"/>
      <c r="C98" s="219"/>
      <c r="D98" s="219"/>
      <c r="E98" s="219"/>
      <c r="F98" s="219"/>
      <c r="G98" s="15">
        <v>87</v>
      </c>
      <c r="H98" s="128">
        <f>SUM(H99:H106)</f>
        <v>-887063</v>
      </c>
      <c r="I98" s="128">
        <f>SUM(I99:I106)</f>
        <v>167766</v>
      </c>
      <c r="J98" s="128">
        <f t="shared" ref="J98:K98" si="16">SUM(J99:J106)</f>
        <v>569302</v>
      </c>
      <c r="K98" s="128">
        <f t="shared" si="16"/>
        <v>107637</v>
      </c>
    </row>
    <row r="99" spans="1:11" x14ac:dyDescent="0.2">
      <c r="A99" s="220" t="s">
        <v>160</v>
      </c>
      <c r="B99" s="220"/>
      <c r="C99" s="220"/>
      <c r="D99" s="220"/>
      <c r="E99" s="220"/>
      <c r="F99" s="220"/>
      <c r="G99" s="14">
        <v>88</v>
      </c>
      <c r="H99" s="131">
        <v>0</v>
      </c>
      <c r="I99" s="131">
        <v>0</v>
      </c>
      <c r="J99" s="131">
        <v>0</v>
      </c>
      <c r="K99" s="131">
        <v>0</v>
      </c>
    </row>
    <row r="100" spans="1:11" ht="36" customHeight="1" x14ac:dyDescent="0.2">
      <c r="A100" s="221" t="s">
        <v>387</v>
      </c>
      <c r="B100" s="221"/>
      <c r="C100" s="221"/>
      <c r="D100" s="221"/>
      <c r="E100" s="221"/>
      <c r="F100" s="221"/>
      <c r="G100" s="14">
        <v>89</v>
      </c>
      <c r="H100" s="131">
        <v>-256968</v>
      </c>
      <c r="I100" s="131">
        <v>-68112</v>
      </c>
      <c r="J100" s="131">
        <v>154800</v>
      </c>
      <c r="K100" s="131">
        <f>J100-108360</f>
        <v>46440</v>
      </c>
    </row>
    <row r="101" spans="1:11" ht="22.15" customHeight="1" x14ac:dyDescent="0.2">
      <c r="A101" s="220" t="s">
        <v>161</v>
      </c>
      <c r="B101" s="220"/>
      <c r="C101" s="220"/>
      <c r="D101" s="220"/>
      <c r="E101" s="220"/>
      <c r="F101" s="220"/>
      <c r="G101" s="14">
        <v>90</v>
      </c>
      <c r="H101" s="131">
        <v>-630095</v>
      </c>
      <c r="I101" s="131">
        <v>235878</v>
      </c>
      <c r="J101" s="131">
        <v>414502</v>
      </c>
      <c r="K101" s="131">
        <f>J101-353305</f>
        <v>61197</v>
      </c>
    </row>
    <row r="102" spans="1:11" ht="22.15" customHeight="1" x14ac:dyDescent="0.2">
      <c r="A102" s="220" t="s">
        <v>162</v>
      </c>
      <c r="B102" s="220"/>
      <c r="C102" s="220"/>
      <c r="D102" s="220"/>
      <c r="E102" s="220"/>
      <c r="F102" s="220"/>
      <c r="G102" s="14">
        <v>91</v>
      </c>
      <c r="H102" s="131">
        <v>0</v>
      </c>
      <c r="I102" s="131">
        <v>0</v>
      </c>
      <c r="J102" s="131">
        <v>0</v>
      </c>
      <c r="K102" s="131">
        <v>0</v>
      </c>
    </row>
    <row r="103" spans="1:11" ht="22.15" customHeight="1" x14ac:dyDescent="0.2">
      <c r="A103" s="220" t="s">
        <v>163</v>
      </c>
      <c r="B103" s="220"/>
      <c r="C103" s="220"/>
      <c r="D103" s="220"/>
      <c r="E103" s="220"/>
      <c r="F103" s="220"/>
      <c r="G103" s="14">
        <v>92</v>
      </c>
      <c r="H103" s="131">
        <v>0</v>
      </c>
      <c r="I103" s="131">
        <v>0</v>
      </c>
      <c r="J103" s="131">
        <v>0</v>
      </c>
      <c r="K103" s="131">
        <v>0</v>
      </c>
    </row>
    <row r="104" spans="1:11" ht="12.75" customHeight="1" x14ac:dyDescent="0.2">
      <c r="A104" s="221" t="s">
        <v>388</v>
      </c>
      <c r="B104" s="221"/>
      <c r="C104" s="221"/>
      <c r="D104" s="221"/>
      <c r="E104" s="221"/>
      <c r="F104" s="221"/>
      <c r="G104" s="14">
        <v>93</v>
      </c>
      <c r="H104" s="131">
        <v>0</v>
      </c>
      <c r="I104" s="131">
        <v>0</v>
      </c>
      <c r="J104" s="131">
        <v>0</v>
      </c>
      <c r="K104" s="131">
        <v>0</v>
      </c>
    </row>
    <row r="105" spans="1:11" ht="26.25" customHeight="1" x14ac:dyDescent="0.2">
      <c r="A105" s="221" t="s">
        <v>389</v>
      </c>
      <c r="B105" s="221"/>
      <c r="C105" s="221"/>
      <c r="D105" s="221"/>
      <c r="E105" s="221"/>
      <c r="F105" s="221"/>
      <c r="G105" s="14">
        <v>94</v>
      </c>
      <c r="H105" s="131">
        <v>0</v>
      </c>
      <c r="I105" s="131">
        <v>0</v>
      </c>
      <c r="J105" s="131">
        <v>0</v>
      </c>
      <c r="K105" s="131">
        <v>0</v>
      </c>
    </row>
    <row r="106" spans="1:11" x14ac:dyDescent="0.2">
      <c r="A106" s="221" t="s">
        <v>390</v>
      </c>
      <c r="B106" s="221"/>
      <c r="C106" s="221"/>
      <c r="D106" s="221"/>
      <c r="E106" s="221"/>
      <c r="F106" s="221"/>
      <c r="G106" s="14">
        <v>95</v>
      </c>
      <c r="H106" s="131">
        <v>0</v>
      </c>
      <c r="I106" s="131">
        <v>0</v>
      </c>
      <c r="J106" s="131">
        <v>0</v>
      </c>
      <c r="K106" s="131">
        <v>0</v>
      </c>
    </row>
    <row r="107" spans="1:11" ht="24.75" customHeight="1" x14ac:dyDescent="0.2">
      <c r="A107" s="221" t="s">
        <v>391</v>
      </c>
      <c r="B107" s="221"/>
      <c r="C107" s="221"/>
      <c r="D107" s="221"/>
      <c r="E107" s="221"/>
      <c r="F107" s="221"/>
      <c r="G107" s="14">
        <v>96</v>
      </c>
      <c r="H107" s="131">
        <v>0</v>
      </c>
      <c r="I107" s="131">
        <v>0</v>
      </c>
      <c r="J107" s="131">
        <v>0</v>
      </c>
      <c r="K107" s="131">
        <v>0</v>
      </c>
    </row>
    <row r="108" spans="1:11" ht="22.9" customHeight="1" x14ac:dyDescent="0.2">
      <c r="A108" s="198" t="s">
        <v>438</v>
      </c>
      <c r="B108" s="198"/>
      <c r="C108" s="198"/>
      <c r="D108" s="198"/>
      <c r="E108" s="198"/>
      <c r="F108" s="198"/>
      <c r="G108" s="15">
        <v>97</v>
      </c>
      <c r="H108" s="128">
        <f>H91+H98-H107-H97</f>
        <v>-887063</v>
      </c>
      <c r="I108" s="128">
        <f>I91+I98-I107-I97</f>
        <v>167766</v>
      </c>
      <c r="J108" s="128">
        <f t="shared" ref="J108:K108" si="17">J91+J98-J107-J97</f>
        <v>569302</v>
      </c>
      <c r="K108" s="128">
        <f t="shared" si="17"/>
        <v>107637</v>
      </c>
    </row>
    <row r="109" spans="1:11" ht="12.75" customHeight="1" x14ac:dyDescent="0.2">
      <c r="A109" s="198" t="s">
        <v>392</v>
      </c>
      <c r="B109" s="198"/>
      <c r="C109" s="198"/>
      <c r="D109" s="198"/>
      <c r="E109" s="198"/>
      <c r="F109" s="198"/>
      <c r="G109" s="15">
        <v>98</v>
      </c>
      <c r="H109" s="110">
        <f>H89+H108</f>
        <v>-246856069</v>
      </c>
      <c r="I109" s="110">
        <f>I89+I108</f>
        <v>-70866819</v>
      </c>
      <c r="J109" s="110">
        <f t="shared" ref="J109:K109" si="18">J89+J108</f>
        <v>-166081197</v>
      </c>
      <c r="K109" s="110">
        <f t="shared" si="18"/>
        <v>-19358753</v>
      </c>
    </row>
    <row r="110" spans="1:11" x14ac:dyDescent="0.2">
      <c r="A110" s="222" t="s">
        <v>164</v>
      </c>
      <c r="B110" s="222"/>
      <c r="C110" s="222"/>
      <c r="D110" s="222"/>
      <c r="E110" s="222"/>
      <c r="F110" s="222"/>
      <c r="G110" s="223"/>
      <c r="H110" s="223"/>
      <c r="I110" s="223"/>
      <c r="J110" s="224"/>
      <c r="K110" s="224"/>
    </row>
    <row r="111" spans="1:11" ht="12.75" customHeight="1" x14ac:dyDescent="0.2">
      <c r="A111" s="217" t="s">
        <v>393</v>
      </c>
      <c r="B111" s="217"/>
      <c r="C111" s="217"/>
      <c r="D111" s="217"/>
      <c r="E111" s="217"/>
      <c r="F111" s="217"/>
      <c r="G111" s="15">
        <v>99</v>
      </c>
      <c r="H111" s="110">
        <f>H112+H113</f>
        <v>-246856069</v>
      </c>
      <c r="I111" s="110">
        <f>I112+I113</f>
        <v>-70866819</v>
      </c>
      <c r="J111" s="110">
        <f>J112+J113</f>
        <v>-166081197</v>
      </c>
      <c r="K111" s="110">
        <f>K112+K113</f>
        <v>-19358753</v>
      </c>
    </row>
    <row r="112" spans="1:11" ht="12.75" customHeight="1" x14ac:dyDescent="0.2">
      <c r="A112" s="218" t="s">
        <v>113</v>
      </c>
      <c r="B112" s="218"/>
      <c r="C112" s="218"/>
      <c r="D112" s="218"/>
      <c r="E112" s="218"/>
      <c r="F112" s="218"/>
      <c r="G112" s="14">
        <v>100</v>
      </c>
      <c r="H112" s="111">
        <f>H109</f>
        <v>-246856069</v>
      </c>
      <c r="I112" s="111">
        <f>I109</f>
        <v>-70866819</v>
      </c>
      <c r="J112" s="111">
        <f>J109</f>
        <v>-166081197</v>
      </c>
      <c r="K112" s="111">
        <f>K109</f>
        <v>-19358753</v>
      </c>
    </row>
    <row r="113" spans="1:11" ht="12.75" customHeight="1" x14ac:dyDescent="0.2">
      <c r="A113" s="218" t="s">
        <v>165</v>
      </c>
      <c r="B113" s="218"/>
      <c r="C113" s="218"/>
      <c r="D113" s="218"/>
      <c r="E113" s="218"/>
      <c r="F113" s="21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4" zoomScaleNormal="100" zoomScaleSheetLayoutView="110" workbookViewId="0">
      <selection activeCell="A5" sqref="A5: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471</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464</v>
      </c>
      <c r="B4" s="210"/>
      <c r="C4" s="210"/>
      <c r="D4" s="210"/>
      <c r="E4" s="210"/>
      <c r="F4" s="210"/>
      <c r="G4" s="210"/>
      <c r="H4" s="210"/>
      <c r="I4" s="211"/>
    </row>
    <row r="5" spans="1:9" ht="23.25" x14ac:dyDescent="0.2">
      <c r="A5" s="259" t="s">
        <v>2</v>
      </c>
      <c r="B5" s="215"/>
      <c r="C5" s="215"/>
      <c r="D5" s="215"/>
      <c r="E5" s="215"/>
      <c r="F5" s="215"/>
      <c r="G5" s="119" t="s">
        <v>103</v>
      </c>
      <c r="H5" s="120" t="s">
        <v>302</v>
      </c>
      <c r="I5" s="120" t="s">
        <v>279</v>
      </c>
    </row>
    <row r="6" spans="1:9" x14ac:dyDescent="0.2">
      <c r="A6" s="260">
        <v>1</v>
      </c>
      <c r="B6" s="215"/>
      <c r="C6" s="215"/>
      <c r="D6" s="215"/>
      <c r="E6" s="215"/>
      <c r="F6" s="215"/>
      <c r="G6" s="121">
        <v>2</v>
      </c>
      <c r="H6" s="120" t="s">
        <v>167</v>
      </c>
      <c r="I6" s="120"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2">
        <v>1</v>
      </c>
      <c r="H8" s="133">
        <v>-245969006</v>
      </c>
      <c r="I8" s="123">
        <v>-166650499</v>
      </c>
    </row>
    <row r="9" spans="1:9" ht="12.75" customHeight="1" x14ac:dyDescent="0.2">
      <c r="A9" s="252" t="s">
        <v>171</v>
      </c>
      <c r="B9" s="252"/>
      <c r="C9" s="252"/>
      <c r="D9" s="252"/>
      <c r="E9" s="252"/>
      <c r="F9" s="252"/>
      <c r="G9" s="124">
        <v>2</v>
      </c>
      <c r="H9" s="125">
        <f>H10+H11+H12+H13+H14+H15+H16+H17</f>
        <v>176059226</v>
      </c>
      <c r="I9" s="125">
        <f>I10+I11+I12+I13+I14+I15+I16+I17</f>
        <v>116450256</v>
      </c>
    </row>
    <row r="10" spans="1:9" ht="12.75" customHeight="1" x14ac:dyDescent="0.2">
      <c r="A10" s="231" t="s">
        <v>172</v>
      </c>
      <c r="B10" s="231"/>
      <c r="C10" s="231"/>
      <c r="D10" s="231"/>
      <c r="E10" s="231"/>
      <c r="F10" s="231"/>
      <c r="G10" s="122">
        <v>3</v>
      </c>
      <c r="H10" s="123">
        <v>159954642</v>
      </c>
      <c r="I10" s="123">
        <v>151454271</v>
      </c>
    </row>
    <row r="11" spans="1:9" ht="22.15" customHeight="1" x14ac:dyDescent="0.2">
      <c r="A11" s="231" t="s">
        <v>173</v>
      </c>
      <c r="B11" s="231"/>
      <c r="C11" s="231"/>
      <c r="D11" s="231"/>
      <c r="E11" s="231"/>
      <c r="F11" s="231"/>
      <c r="G11" s="122">
        <v>4</v>
      </c>
      <c r="H11" s="123">
        <v>-77983</v>
      </c>
      <c r="I11" s="123">
        <v>-3129</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-16220</v>
      </c>
      <c r="I13" s="123">
        <v>-70846</v>
      </c>
    </row>
    <row r="14" spans="1:9" ht="12.75" customHeight="1" x14ac:dyDescent="0.2">
      <c r="A14" s="231" t="s">
        <v>176</v>
      </c>
      <c r="B14" s="231"/>
      <c r="C14" s="231"/>
      <c r="D14" s="231"/>
      <c r="E14" s="231"/>
      <c r="F14" s="231"/>
      <c r="G14" s="122">
        <v>7</v>
      </c>
      <c r="H14" s="123">
        <v>15337000</v>
      </c>
      <c r="I14" s="123">
        <v>15273331</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1991988</v>
      </c>
      <c r="I16" s="123">
        <v>4249960</v>
      </c>
    </row>
    <row r="17" spans="1:9" ht="25.15" customHeight="1" x14ac:dyDescent="0.2">
      <c r="A17" s="231" t="s">
        <v>179</v>
      </c>
      <c r="B17" s="231"/>
      <c r="C17" s="231"/>
      <c r="D17" s="231"/>
      <c r="E17" s="231"/>
      <c r="F17" s="231"/>
      <c r="G17" s="122">
        <v>10</v>
      </c>
      <c r="H17" s="123">
        <v>-1130201</v>
      </c>
      <c r="I17" s="123">
        <v>-54453331</v>
      </c>
    </row>
    <row r="18" spans="1:9" ht="28.15" customHeight="1" x14ac:dyDescent="0.2">
      <c r="A18" s="248" t="s">
        <v>307</v>
      </c>
      <c r="B18" s="248"/>
      <c r="C18" s="248"/>
      <c r="D18" s="248"/>
      <c r="E18" s="248"/>
      <c r="F18" s="248"/>
      <c r="G18" s="124">
        <v>11</v>
      </c>
      <c r="H18" s="125">
        <f>H8+H9</f>
        <v>-69909780</v>
      </c>
      <c r="I18" s="125">
        <f>I8+I9</f>
        <v>-50200243</v>
      </c>
    </row>
    <row r="19" spans="1:9" ht="12.75" customHeight="1" x14ac:dyDescent="0.2">
      <c r="A19" s="252" t="s">
        <v>180</v>
      </c>
      <c r="B19" s="252"/>
      <c r="C19" s="252"/>
      <c r="D19" s="252"/>
      <c r="E19" s="252"/>
      <c r="F19" s="252"/>
      <c r="G19" s="124">
        <v>12</v>
      </c>
      <c r="H19" s="125">
        <f>H20+H21+H22+H23</f>
        <v>47513976</v>
      </c>
      <c r="I19" s="125">
        <f>I20+I21+I22+I23</f>
        <v>-41826199</v>
      </c>
    </row>
    <row r="20" spans="1:9" ht="12.75" customHeight="1" x14ac:dyDescent="0.2">
      <c r="A20" s="231" t="s">
        <v>181</v>
      </c>
      <c r="B20" s="231"/>
      <c r="C20" s="231"/>
      <c r="D20" s="231"/>
      <c r="E20" s="231"/>
      <c r="F20" s="231"/>
      <c r="G20" s="122">
        <v>13</v>
      </c>
      <c r="H20" s="123">
        <v>33858395</v>
      </c>
      <c r="I20" s="123">
        <v>22389757</v>
      </c>
    </row>
    <row r="21" spans="1:9" ht="12.75" customHeight="1" x14ac:dyDescent="0.2">
      <c r="A21" s="231" t="s">
        <v>182</v>
      </c>
      <c r="B21" s="231"/>
      <c r="C21" s="231"/>
      <c r="D21" s="231"/>
      <c r="E21" s="231"/>
      <c r="F21" s="231"/>
      <c r="G21" s="122">
        <v>14</v>
      </c>
      <c r="H21" s="123">
        <v>33346541</v>
      </c>
      <c r="I21" s="123">
        <v>-37399075</v>
      </c>
    </row>
    <row r="22" spans="1:9" ht="12.75" customHeight="1" x14ac:dyDescent="0.2">
      <c r="A22" s="231" t="s">
        <v>183</v>
      </c>
      <c r="B22" s="231"/>
      <c r="C22" s="231"/>
      <c r="D22" s="231"/>
      <c r="E22" s="231"/>
      <c r="F22" s="231"/>
      <c r="G22" s="122">
        <v>15</v>
      </c>
      <c r="H22" s="123">
        <v>-629903</v>
      </c>
      <c r="I22" s="123">
        <v>-745795</v>
      </c>
    </row>
    <row r="23" spans="1:9" ht="12.75" customHeight="1" x14ac:dyDescent="0.2">
      <c r="A23" s="231" t="s">
        <v>184</v>
      </c>
      <c r="B23" s="231"/>
      <c r="C23" s="231"/>
      <c r="D23" s="231"/>
      <c r="E23" s="231"/>
      <c r="F23" s="231"/>
      <c r="G23" s="122">
        <v>16</v>
      </c>
      <c r="H23" s="123">
        <v>-19061057</v>
      </c>
      <c r="I23" s="123">
        <v>-26071086</v>
      </c>
    </row>
    <row r="24" spans="1:9" ht="12.75" customHeight="1" x14ac:dyDescent="0.2">
      <c r="A24" s="248" t="s">
        <v>185</v>
      </c>
      <c r="B24" s="248"/>
      <c r="C24" s="248"/>
      <c r="D24" s="248"/>
      <c r="E24" s="248"/>
      <c r="F24" s="248"/>
      <c r="G24" s="124">
        <v>17</v>
      </c>
      <c r="H24" s="125">
        <f>H18+H19</f>
        <v>-22395804</v>
      </c>
      <c r="I24" s="125">
        <f>I18+I19</f>
        <v>-92026442</v>
      </c>
    </row>
    <row r="25" spans="1:9" ht="12.75" customHeight="1" x14ac:dyDescent="0.2">
      <c r="A25" s="196" t="s">
        <v>186</v>
      </c>
      <c r="B25" s="196"/>
      <c r="C25" s="196"/>
      <c r="D25" s="196"/>
      <c r="E25" s="196"/>
      <c r="F25" s="196"/>
      <c r="G25" s="122">
        <v>18</v>
      </c>
      <c r="H25" s="123">
        <v>-11553038</v>
      </c>
      <c r="I25" s="123">
        <v>-11363706</v>
      </c>
    </row>
    <row r="26" spans="1:9" ht="12.75" customHeight="1" x14ac:dyDescent="0.2">
      <c r="A26" s="196" t="s">
        <v>187</v>
      </c>
      <c r="B26" s="196"/>
      <c r="C26" s="196"/>
      <c r="D26" s="196"/>
      <c r="E26" s="196"/>
      <c r="F26" s="196"/>
      <c r="G26" s="122">
        <v>19</v>
      </c>
      <c r="H26" s="123">
        <v>-107003</v>
      </c>
      <c r="I26" s="123">
        <v>0</v>
      </c>
    </row>
    <row r="27" spans="1:9" ht="25.9" customHeight="1" x14ac:dyDescent="0.2">
      <c r="A27" s="249" t="s">
        <v>188</v>
      </c>
      <c r="B27" s="249"/>
      <c r="C27" s="249"/>
      <c r="D27" s="249"/>
      <c r="E27" s="249"/>
      <c r="F27" s="249"/>
      <c r="G27" s="124">
        <v>20</v>
      </c>
      <c r="H27" s="125">
        <f>H24+H25+H26</f>
        <v>-34055845</v>
      </c>
      <c r="I27" s="125">
        <f>I24+I25+I26</f>
        <v>-103390148</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2">
        <v>21</v>
      </c>
      <c r="H29" s="126">
        <v>1028985</v>
      </c>
      <c r="I29" s="126">
        <v>1164333</v>
      </c>
    </row>
    <row r="30" spans="1:9" ht="12.75" customHeight="1" x14ac:dyDescent="0.2">
      <c r="A30" s="196" t="s">
        <v>191</v>
      </c>
      <c r="B30" s="196"/>
      <c r="C30" s="196"/>
      <c r="D30" s="196"/>
      <c r="E30" s="196"/>
      <c r="F30" s="196"/>
      <c r="G30" s="122">
        <v>22</v>
      </c>
      <c r="H30" s="126">
        <v>0</v>
      </c>
      <c r="I30" s="126">
        <v>0</v>
      </c>
    </row>
    <row r="31" spans="1:9" ht="12.75" customHeight="1" x14ac:dyDescent="0.2">
      <c r="A31" s="196" t="s">
        <v>192</v>
      </c>
      <c r="B31" s="196"/>
      <c r="C31" s="196"/>
      <c r="D31" s="196"/>
      <c r="E31" s="196"/>
      <c r="F31" s="196"/>
      <c r="G31" s="122">
        <v>23</v>
      </c>
      <c r="H31" s="126">
        <v>0</v>
      </c>
      <c r="I31" s="126">
        <v>0</v>
      </c>
    </row>
    <row r="32" spans="1:9" ht="12.75" customHeight="1" x14ac:dyDescent="0.2">
      <c r="A32" s="196" t="s">
        <v>193</v>
      </c>
      <c r="B32" s="196"/>
      <c r="C32" s="196"/>
      <c r="D32" s="196"/>
      <c r="E32" s="196"/>
      <c r="F32" s="196"/>
      <c r="G32" s="122">
        <v>24</v>
      </c>
      <c r="H32" s="126">
        <v>0</v>
      </c>
      <c r="I32" s="126">
        <v>0</v>
      </c>
    </row>
    <row r="33" spans="1:9" ht="12.75" customHeight="1" x14ac:dyDescent="0.2">
      <c r="A33" s="196" t="s">
        <v>194</v>
      </c>
      <c r="B33" s="196"/>
      <c r="C33" s="196"/>
      <c r="D33" s="196"/>
      <c r="E33" s="196"/>
      <c r="F33" s="196"/>
      <c r="G33" s="122">
        <v>25</v>
      </c>
      <c r="H33" s="126">
        <v>0</v>
      </c>
      <c r="I33" s="126">
        <v>0</v>
      </c>
    </row>
    <row r="34" spans="1:9" ht="12.75" customHeight="1" x14ac:dyDescent="0.2">
      <c r="A34" s="196" t="s">
        <v>195</v>
      </c>
      <c r="B34" s="196"/>
      <c r="C34" s="196"/>
      <c r="D34" s="196"/>
      <c r="E34" s="196"/>
      <c r="F34" s="196"/>
      <c r="G34" s="122">
        <v>26</v>
      </c>
      <c r="H34" s="126">
        <v>0</v>
      </c>
      <c r="I34" s="126">
        <v>0</v>
      </c>
    </row>
    <row r="35" spans="1:9" ht="26.45" customHeight="1" x14ac:dyDescent="0.2">
      <c r="A35" s="248" t="s">
        <v>196</v>
      </c>
      <c r="B35" s="248"/>
      <c r="C35" s="248"/>
      <c r="D35" s="248"/>
      <c r="E35" s="248"/>
      <c r="F35" s="248"/>
      <c r="G35" s="124">
        <v>27</v>
      </c>
      <c r="H35" s="127">
        <f>H29+H30+H31+H32+H33+H34</f>
        <v>1028985</v>
      </c>
      <c r="I35" s="127">
        <f>I29+I30+I31+I32+I33+I34</f>
        <v>1164333</v>
      </c>
    </row>
    <row r="36" spans="1:9" ht="22.9" customHeight="1" x14ac:dyDescent="0.2">
      <c r="A36" s="196" t="s">
        <v>197</v>
      </c>
      <c r="B36" s="196"/>
      <c r="C36" s="196"/>
      <c r="D36" s="196"/>
      <c r="E36" s="196"/>
      <c r="F36" s="196"/>
      <c r="G36" s="122">
        <v>28</v>
      </c>
      <c r="H36" s="126">
        <v>-57293910</v>
      </c>
      <c r="I36" s="126">
        <v>-13877569</v>
      </c>
    </row>
    <row r="37" spans="1:9" ht="12.75" customHeight="1" x14ac:dyDescent="0.2">
      <c r="A37" s="196" t="s">
        <v>198</v>
      </c>
      <c r="B37" s="196"/>
      <c r="C37" s="196"/>
      <c r="D37" s="196"/>
      <c r="E37" s="196"/>
      <c r="F37" s="196"/>
      <c r="G37" s="122">
        <v>29</v>
      </c>
      <c r="H37" s="126">
        <v>0</v>
      </c>
      <c r="I37" s="126">
        <v>0</v>
      </c>
    </row>
    <row r="38" spans="1:9" ht="12.75" customHeight="1" x14ac:dyDescent="0.2">
      <c r="A38" s="196" t="s">
        <v>199</v>
      </c>
      <c r="B38" s="196"/>
      <c r="C38" s="196"/>
      <c r="D38" s="196"/>
      <c r="E38" s="196"/>
      <c r="F38" s="196"/>
      <c r="G38" s="122">
        <v>30</v>
      </c>
      <c r="H38" s="126">
        <v>0</v>
      </c>
      <c r="I38" s="126">
        <v>0</v>
      </c>
    </row>
    <row r="39" spans="1:9" ht="12.75" customHeight="1" x14ac:dyDescent="0.2">
      <c r="A39" s="196" t="s">
        <v>200</v>
      </c>
      <c r="B39" s="196"/>
      <c r="C39" s="196"/>
      <c r="D39" s="196"/>
      <c r="E39" s="196"/>
      <c r="F39" s="196"/>
      <c r="G39" s="122">
        <v>31</v>
      </c>
      <c r="H39" s="126">
        <v>0</v>
      </c>
      <c r="I39" s="126">
        <v>0</v>
      </c>
    </row>
    <row r="40" spans="1:9" ht="12.75" customHeight="1" x14ac:dyDescent="0.2">
      <c r="A40" s="196" t="s">
        <v>201</v>
      </c>
      <c r="B40" s="196"/>
      <c r="C40" s="196"/>
      <c r="D40" s="196"/>
      <c r="E40" s="196"/>
      <c r="F40" s="196"/>
      <c r="G40" s="122">
        <v>32</v>
      </c>
      <c r="H40" s="126">
        <v>0</v>
      </c>
      <c r="I40" s="126">
        <v>0</v>
      </c>
    </row>
    <row r="41" spans="1:9" ht="24" customHeight="1" x14ac:dyDescent="0.2">
      <c r="A41" s="248" t="s">
        <v>202</v>
      </c>
      <c r="B41" s="248"/>
      <c r="C41" s="248"/>
      <c r="D41" s="248"/>
      <c r="E41" s="248"/>
      <c r="F41" s="248"/>
      <c r="G41" s="124">
        <v>33</v>
      </c>
      <c r="H41" s="127">
        <f>H36+H37+H38+H39+H40</f>
        <v>-57293910</v>
      </c>
      <c r="I41" s="127">
        <f>I36+I37+I38+I39+I40</f>
        <v>-13877569</v>
      </c>
    </row>
    <row r="42" spans="1:9" ht="29.45" customHeight="1" x14ac:dyDescent="0.2">
      <c r="A42" s="249" t="s">
        <v>203</v>
      </c>
      <c r="B42" s="249"/>
      <c r="C42" s="249"/>
      <c r="D42" s="249"/>
      <c r="E42" s="249"/>
      <c r="F42" s="249"/>
      <c r="G42" s="124">
        <v>34</v>
      </c>
      <c r="H42" s="127">
        <f>H35+H41</f>
        <v>-56264925</v>
      </c>
      <c r="I42" s="127">
        <f>I35+I41</f>
        <v>-12713236</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2">
        <v>35</v>
      </c>
      <c r="H44" s="126">
        <v>0</v>
      </c>
      <c r="I44" s="126">
        <v>0</v>
      </c>
    </row>
    <row r="45" spans="1:9" ht="25.15" customHeight="1" x14ac:dyDescent="0.2">
      <c r="A45" s="196" t="s">
        <v>206</v>
      </c>
      <c r="B45" s="196"/>
      <c r="C45" s="196"/>
      <c r="D45" s="196"/>
      <c r="E45" s="196"/>
      <c r="F45" s="196"/>
      <c r="G45" s="122">
        <v>36</v>
      </c>
      <c r="H45" s="126">
        <v>0</v>
      </c>
      <c r="I45" s="126">
        <v>0</v>
      </c>
    </row>
    <row r="46" spans="1:9" ht="12.75" customHeight="1" x14ac:dyDescent="0.2">
      <c r="A46" s="196" t="s">
        <v>207</v>
      </c>
      <c r="B46" s="196"/>
      <c r="C46" s="196"/>
      <c r="D46" s="196"/>
      <c r="E46" s="196"/>
      <c r="F46" s="196"/>
      <c r="G46" s="122">
        <v>37</v>
      </c>
      <c r="H46" s="126">
        <v>150000000</v>
      </c>
      <c r="I46" s="126">
        <v>0</v>
      </c>
    </row>
    <row r="47" spans="1:9" ht="12.75" customHeight="1" x14ac:dyDescent="0.2">
      <c r="A47" s="196" t="s">
        <v>208</v>
      </c>
      <c r="B47" s="196"/>
      <c r="C47" s="196"/>
      <c r="D47" s="196"/>
      <c r="E47" s="196"/>
      <c r="F47" s="196"/>
      <c r="G47" s="122">
        <v>38</v>
      </c>
      <c r="H47" s="126">
        <v>0</v>
      </c>
      <c r="I47" s="126">
        <v>0</v>
      </c>
    </row>
    <row r="48" spans="1:9" ht="22.15" customHeight="1" x14ac:dyDescent="0.2">
      <c r="A48" s="248" t="s">
        <v>209</v>
      </c>
      <c r="B48" s="248"/>
      <c r="C48" s="248"/>
      <c r="D48" s="248"/>
      <c r="E48" s="248"/>
      <c r="F48" s="248"/>
      <c r="G48" s="124">
        <v>39</v>
      </c>
      <c r="H48" s="127">
        <f>H44+H45+H46+H47</f>
        <v>150000000</v>
      </c>
      <c r="I48" s="127">
        <f>I44+I45+I46+I47</f>
        <v>0</v>
      </c>
    </row>
    <row r="49" spans="1:9" ht="24.6" customHeight="1" x14ac:dyDescent="0.2">
      <c r="A49" s="196" t="s">
        <v>306</v>
      </c>
      <c r="B49" s="196"/>
      <c r="C49" s="196"/>
      <c r="D49" s="196"/>
      <c r="E49" s="196"/>
      <c r="F49" s="196"/>
      <c r="G49" s="122">
        <v>40</v>
      </c>
      <c r="H49" s="126">
        <v>-16535351</v>
      </c>
      <c r="I49" s="126">
        <v>-10514993</v>
      </c>
    </row>
    <row r="50" spans="1:9" ht="12.75" customHeight="1" x14ac:dyDescent="0.2">
      <c r="A50" s="196" t="s">
        <v>210</v>
      </c>
      <c r="B50" s="196"/>
      <c r="C50" s="196"/>
      <c r="D50" s="196"/>
      <c r="E50" s="196"/>
      <c r="F50" s="196"/>
      <c r="G50" s="122">
        <v>41</v>
      </c>
      <c r="H50" s="126">
        <v>0</v>
      </c>
      <c r="I50" s="126">
        <v>0</v>
      </c>
    </row>
    <row r="51" spans="1:9" ht="12.75" customHeight="1" x14ac:dyDescent="0.2">
      <c r="A51" s="196" t="s">
        <v>211</v>
      </c>
      <c r="B51" s="196"/>
      <c r="C51" s="196"/>
      <c r="D51" s="196"/>
      <c r="E51" s="196"/>
      <c r="F51" s="196"/>
      <c r="G51" s="122">
        <v>42</v>
      </c>
      <c r="H51" s="126">
        <v>0</v>
      </c>
      <c r="I51" s="126">
        <v>0</v>
      </c>
    </row>
    <row r="52" spans="1:9" ht="22.9" customHeight="1" x14ac:dyDescent="0.2">
      <c r="A52" s="196" t="s">
        <v>212</v>
      </c>
      <c r="B52" s="196"/>
      <c r="C52" s="196"/>
      <c r="D52" s="196"/>
      <c r="E52" s="196"/>
      <c r="F52" s="196"/>
      <c r="G52" s="122">
        <v>43</v>
      </c>
      <c r="H52" s="126">
        <v>0</v>
      </c>
      <c r="I52" s="126">
        <v>0</v>
      </c>
    </row>
    <row r="53" spans="1:9" ht="12.75" customHeight="1" x14ac:dyDescent="0.2">
      <c r="A53" s="196" t="s">
        <v>213</v>
      </c>
      <c r="B53" s="196"/>
      <c r="C53" s="196"/>
      <c r="D53" s="196"/>
      <c r="E53" s="196"/>
      <c r="F53" s="196"/>
      <c r="G53" s="122">
        <v>44</v>
      </c>
      <c r="H53" s="126">
        <v>-49069240</v>
      </c>
      <c r="I53" s="126">
        <v>-54630503</v>
      </c>
    </row>
    <row r="54" spans="1:9" ht="30.6" customHeight="1" x14ac:dyDescent="0.2">
      <c r="A54" s="248" t="s">
        <v>214</v>
      </c>
      <c r="B54" s="248"/>
      <c r="C54" s="248"/>
      <c r="D54" s="248"/>
      <c r="E54" s="248"/>
      <c r="F54" s="248"/>
      <c r="G54" s="124">
        <v>45</v>
      </c>
      <c r="H54" s="127">
        <f>H49+H50+H51+H52+H53</f>
        <v>-65604591</v>
      </c>
      <c r="I54" s="127">
        <f>I49+I50+I51+I52+I53</f>
        <v>-65145496</v>
      </c>
    </row>
    <row r="55" spans="1:9" ht="29.45" customHeight="1" x14ac:dyDescent="0.2">
      <c r="A55" s="249" t="s">
        <v>215</v>
      </c>
      <c r="B55" s="249"/>
      <c r="C55" s="249"/>
      <c r="D55" s="249"/>
      <c r="E55" s="249"/>
      <c r="F55" s="249"/>
      <c r="G55" s="124">
        <v>46</v>
      </c>
      <c r="H55" s="127">
        <f>H48+H54</f>
        <v>84395409</v>
      </c>
      <c r="I55" s="127">
        <f>I48+I54</f>
        <v>-65145496</v>
      </c>
    </row>
    <row r="56" spans="1:9" x14ac:dyDescent="0.2">
      <c r="A56" s="196" t="s">
        <v>216</v>
      </c>
      <c r="B56" s="196"/>
      <c r="C56" s="196"/>
      <c r="D56" s="196"/>
      <c r="E56" s="196"/>
      <c r="F56" s="196"/>
      <c r="G56" s="122">
        <v>47</v>
      </c>
      <c r="H56" s="126">
        <v>0</v>
      </c>
      <c r="I56" s="126">
        <v>0</v>
      </c>
    </row>
    <row r="57" spans="1:9" ht="26.45" customHeight="1" x14ac:dyDescent="0.2">
      <c r="A57" s="249" t="s">
        <v>217</v>
      </c>
      <c r="B57" s="249"/>
      <c r="C57" s="249"/>
      <c r="D57" s="249"/>
      <c r="E57" s="249"/>
      <c r="F57" s="249"/>
      <c r="G57" s="124">
        <v>48</v>
      </c>
      <c r="H57" s="127">
        <f>H27+H42+H55+H56</f>
        <v>-5925361</v>
      </c>
      <c r="I57" s="127">
        <f>I27+I42+I55+I56</f>
        <v>-181248880</v>
      </c>
    </row>
    <row r="58" spans="1:9" x14ac:dyDescent="0.2">
      <c r="A58" s="251" t="s">
        <v>218</v>
      </c>
      <c r="B58" s="251"/>
      <c r="C58" s="251"/>
      <c r="D58" s="251"/>
      <c r="E58" s="251"/>
      <c r="F58" s="251"/>
      <c r="G58" s="122">
        <v>49</v>
      </c>
      <c r="H58" s="126">
        <v>39070651</v>
      </c>
      <c r="I58" s="126">
        <v>579577183</v>
      </c>
    </row>
    <row r="59" spans="1:9" ht="31.15" customHeight="1" x14ac:dyDescent="0.2">
      <c r="A59" s="249" t="s">
        <v>219</v>
      </c>
      <c r="B59" s="249"/>
      <c r="C59" s="249"/>
      <c r="D59" s="249"/>
      <c r="E59" s="249"/>
      <c r="F59" s="249"/>
      <c r="G59" s="124">
        <v>50</v>
      </c>
      <c r="H59" s="127">
        <f>H57+H58</f>
        <v>33145290</v>
      </c>
      <c r="I59" s="127">
        <f>I57+I58</f>
        <v>398328303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9" sqref="H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468</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463</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394</v>
      </c>
      <c r="B12" s="261"/>
      <c r="C12" s="261"/>
      <c r="D12" s="261"/>
      <c r="E12" s="261"/>
      <c r="F12" s="261"/>
      <c r="G12" s="21">
        <v>5</v>
      </c>
      <c r="H12" s="30">
        <v>0</v>
      </c>
      <c r="I12" s="30">
        <v>0</v>
      </c>
    </row>
    <row r="13" spans="1:9" x14ac:dyDescent="0.2">
      <c r="A13" s="262" t="s">
        <v>395</v>
      </c>
      <c r="B13" s="262"/>
      <c r="C13" s="262"/>
      <c r="D13" s="262"/>
      <c r="E13" s="262"/>
      <c r="F13" s="262"/>
      <c r="G13" s="112">
        <v>6</v>
      </c>
      <c r="H13" s="115">
        <f>SUM(H8:H12)</f>
        <v>0</v>
      </c>
      <c r="I13" s="115">
        <f>SUM(I8:I12)</f>
        <v>0</v>
      </c>
    </row>
    <row r="14" spans="1:9" ht="12.75" customHeight="1" x14ac:dyDescent="0.2">
      <c r="A14" s="261" t="s">
        <v>396</v>
      </c>
      <c r="B14" s="261"/>
      <c r="C14" s="261"/>
      <c r="D14" s="261"/>
      <c r="E14" s="261"/>
      <c r="F14" s="261"/>
      <c r="G14" s="21">
        <v>7</v>
      </c>
      <c r="H14" s="29">
        <v>0</v>
      </c>
      <c r="I14" s="29">
        <v>0</v>
      </c>
    </row>
    <row r="15" spans="1:9" ht="12.75" customHeight="1" x14ac:dyDescent="0.2">
      <c r="A15" s="261" t="s">
        <v>397</v>
      </c>
      <c r="B15" s="261"/>
      <c r="C15" s="261"/>
      <c r="D15" s="261"/>
      <c r="E15" s="261"/>
      <c r="F15" s="261"/>
      <c r="G15" s="21">
        <v>8</v>
      </c>
      <c r="H15" s="30">
        <v>0</v>
      </c>
      <c r="I15" s="30">
        <v>0</v>
      </c>
    </row>
    <row r="16" spans="1:9" ht="12.75" customHeight="1" x14ac:dyDescent="0.2">
      <c r="A16" s="261" t="s">
        <v>398</v>
      </c>
      <c r="B16" s="261"/>
      <c r="C16" s="261"/>
      <c r="D16" s="261"/>
      <c r="E16" s="261"/>
      <c r="F16" s="261"/>
      <c r="G16" s="21">
        <v>9</v>
      </c>
      <c r="H16" s="30">
        <v>0</v>
      </c>
      <c r="I16" s="30">
        <v>0</v>
      </c>
    </row>
    <row r="17" spans="1:9" ht="12.75" customHeight="1" x14ac:dyDescent="0.2">
      <c r="A17" s="261" t="s">
        <v>399</v>
      </c>
      <c r="B17" s="261"/>
      <c r="C17" s="261"/>
      <c r="D17" s="261"/>
      <c r="E17" s="261"/>
      <c r="F17" s="261"/>
      <c r="G17" s="21">
        <v>10</v>
      </c>
      <c r="H17" s="30">
        <v>0</v>
      </c>
      <c r="I17" s="30">
        <v>0</v>
      </c>
    </row>
    <row r="18" spans="1:9" ht="12.75" customHeight="1" x14ac:dyDescent="0.2">
      <c r="A18" s="261" t="s">
        <v>400</v>
      </c>
      <c r="B18" s="261"/>
      <c r="C18" s="261"/>
      <c r="D18" s="261"/>
      <c r="E18" s="261"/>
      <c r="F18" s="261"/>
      <c r="G18" s="21">
        <v>11</v>
      </c>
      <c r="H18" s="30">
        <v>0</v>
      </c>
      <c r="I18" s="30">
        <v>0</v>
      </c>
    </row>
    <row r="19" spans="1:9" ht="12.75" customHeight="1" x14ac:dyDescent="0.2">
      <c r="A19" s="261" t="s">
        <v>401</v>
      </c>
      <c r="B19" s="261"/>
      <c r="C19" s="261"/>
      <c r="D19" s="261"/>
      <c r="E19" s="261"/>
      <c r="F19" s="261"/>
      <c r="G19" s="21">
        <v>12</v>
      </c>
      <c r="H19" s="30">
        <v>0</v>
      </c>
      <c r="I19" s="30">
        <v>0</v>
      </c>
    </row>
    <row r="20" spans="1:9" ht="26.25" customHeight="1" x14ac:dyDescent="0.2">
      <c r="A20" s="262" t="s">
        <v>402</v>
      </c>
      <c r="B20" s="262"/>
      <c r="C20" s="262"/>
      <c r="D20" s="262"/>
      <c r="E20" s="262"/>
      <c r="F20" s="262"/>
      <c r="G20" s="112">
        <v>13</v>
      </c>
      <c r="H20" s="115">
        <f>SUM(H14:H19)</f>
        <v>0</v>
      </c>
      <c r="I20" s="115">
        <f>SUM(I14:I19)</f>
        <v>0</v>
      </c>
    </row>
    <row r="21" spans="1:9" ht="27.6" customHeight="1" x14ac:dyDescent="0.2">
      <c r="A21" s="273" t="s">
        <v>403</v>
      </c>
      <c r="B21" s="273"/>
      <c r="C21" s="273"/>
      <c r="D21" s="273"/>
      <c r="E21" s="273"/>
      <c r="F21" s="273"/>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30">
        <v>0</v>
      </c>
      <c r="I24" s="30">
        <v>0</v>
      </c>
    </row>
    <row r="25" spans="1:9" ht="12.75" customHeight="1" x14ac:dyDescent="0.2">
      <c r="A25" s="261" t="s">
        <v>227</v>
      </c>
      <c r="B25" s="261"/>
      <c r="C25" s="261"/>
      <c r="D25" s="261"/>
      <c r="E25" s="261"/>
      <c r="F25" s="261"/>
      <c r="G25" s="20">
        <v>17</v>
      </c>
      <c r="H25" s="30">
        <v>0</v>
      </c>
      <c r="I25" s="30">
        <v>0</v>
      </c>
    </row>
    <row r="26" spans="1:9" ht="12.75" customHeight="1" x14ac:dyDescent="0.2">
      <c r="A26" s="261" t="s">
        <v>228</v>
      </c>
      <c r="B26" s="261"/>
      <c r="C26" s="261"/>
      <c r="D26" s="261"/>
      <c r="E26" s="261"/>
      <c r="F26" s="261"/>
      <c r="G26" s="20">
        <v>18</v>
      </c>
      <c r="H26" s="30">
        <v>0</v>
      </c>
      <c r="I26" s="30">
        <v>0</v>
      </c>
    </row>
    <row r="27" spans="1:9" ht="12.75" customHeight="1" x14ac:dyDescent="0.2">
      <c r="A27" s="261" t="s">
        <v>229</v>
      </c>
      <c r="B27" s="261"/>
      <c r="C27" s="261"/>
      <c r="D27" s="261"/>
      <c r="E27" s="261"/>
      <c r="F27" s="261"/>
      <c r="G27" s="20">
        <v>19</v>
      </c>
      <c r="H27" s="30">
        <v>0</v>
      </c>
      <c r="I27" s="30">
        <v>0</v>
      </c>
    </row>
    <row r="28" spans="1:9" ht="12.75" customHeight="1" x14ac:dyDescent="0.2">
      <c r="A28" s="261" t="s">
        <v>230</v>
      </c>
      <c r="B28" s="261"/>
      <c r="C28" s="261"/>
      <c r="D28" s="261"/>
      <c r="E28" s="261"/>
      <c r="F28" s="261"/>
      <c r="G28" s="20">
        <v>20</v>
      </c>
      <c r="H28" s="30">
        <v>0</v>
      </c>
      <c r="I28" s="30">
        <v>0</v>
      </c>
    </row>
    <row r="29" spans="1:9" ht="24" customHeight="1" x14ac:dyDescent="0.2">
      <c r="A29" s="267" t="s">
        <v>404</v>
      </c>
      <c r="B29" s="267"/>
      <c r="C29" s="267"/>
      <c r="D29" s="267"/>
      <c r="E29" s="267"/>
      <c r="F29" s="267"/>
      <c r="G29" s="112">
        <v>21</v>
      </c>
      <c r="H29" s="116">
        <f>SUM(H23:H28)</f>
        <v>0</v>
      </c>
      <c r="I29" s="116">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30">
        <v>0</v>
      </c>
      <c r="I31" s="30">
        <v>0</v>
      </c>
    </row>
    <row r="32" spans="1:9" ht="12.75" customHeight="1" x14ac:dyDescent="0.2">
      <c r="A32" s="261" t="s">
        <v>405</v>
      </c>
      <c r="B32" s="261"/>
      <c r="C32" s="261"/>
      <c r="D32" s="261"/>
      <c r="E32" s="261"/>
      <c r="F32" s="261"/>
      <c r="G32" s="21">
        <v>24</v>
      </c>
      <c r="H32" s="30">
        <v>0</v>
      </c>
      <c r="I32" s="30">
        <v>0</v>
      </c>
    </row>
    <row r="33" spans="1:9" ht="12.75" customHeight="1" x14ac:dyDescent="0.2">
      <c r="A33" s="261" t="s">
        <v>233</v>
      </c>
      <c r="B33" s="261"/>
      <c r="C33" s="261"/>
      <c r="D33" s="261"/>
      <c r="E33" s="261"/>
      <c r="F33" s="261"/>
      <c r="G33" s="21">
        <v>25</v>
      </c>
      <c r="H33" s="30">
        <v>0</v>
      </c>
      <c r="I33" s="30">
        <v>0</v>
      </c>
    </row>
    <row r="34" spans="1:9" ht="12.75" customHeight="1" x14ac:dyDescent="0.2">
      <c r="A34" s="261" t="s">
        <v>234</v>
      </c>
      <c r="B34" s="261"/>
      <c r="C34" s="261"/>
      <c r="D34" s="261"/>
      <c r="E34" s="261"/>
      <c r="F34" s="261"/>
      <c r="G34" s="21">
        <v>26</v>
      </c>
      <c r="H34" s="30">
        <v>0</v>
      </c>
      <c r="I34" s="30">
        <v>0</v>
      </c>
    </row>
    <row r="35" spans="1:9" ht="25.9" customHeight="1" x14ac:dyDescent="0.2">
      <c r="A35" s="267" t="s">
        <v>406</v>
      </c>
      <c r="B35" s="267"/>
      <c r="C35" s="267"/>
      <c r="D35" s="267"/>
      <c r="E35" s="267"/>
      <c r="F35" s="267"/>
      <c r="G35" s="112">
        <v>27</v>
      </c>
      <c r="H35" s="116">
        <f>SUM(H30:H34)</f>
        <v>0</v>
      </c>
      <c r="I35" s="116">
        <f>SUM(I30:I34)</f>
        <v>0</v>
      </c>
    </row>
    <row r="36" spans="1:9" ht="28.15" customHeight="1" x14ac:dyDescent="0.2">
      <c r="A36" s="273" t="s">
        <v>407</v>
      </c>
      <c r="B36" s="273"/>
      <c r="C36" s="273"/>
      <c r="D36" s="273"/>
      <c r="E36" s="273"/>
      <c r="F36" s="273"/>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30">
        <v>0</v>
      </c>
      <c r="I39" s="30">
        <v>0</v>
      </c>
    </row>
    <row r="40" spans="1:9" ht="12.75" customHeight="1" x14ac:dyDescent="0.2">
      <c r="A40" s="266" t="s">
        <v>237</v>
      </c>
      <c r="B40" s="266"/>
      <c r="C40" s="266"/>
      <c r="D40" s="266"/>
      <c r="E40" s="266"/>
      <c r="F40" s="266"/>
      <c r="G40" s="21">
        <v>31</v>
      </c>
      <c r="H40" s="30">
        <v>0</v>
      </c>
      <c r="I40" s="30">
        <v>0</v>
      </c>
    </row>
    <row r="41" spans="1:9" ht="12.75" customHeight="1" x14ac:dyDescent="0.2">
      <c r="A41" s="266" t="s">
        <v>238</v>
      </c>
      <c r="B41" s="266"/>
      <c r="C41" s="266"/>
      <c r="D41" s="266"/>
      <c r="E41" s="266"/>
      <c r="F41" s="266"/>
      <c r="G41" s="21">
        <v>32</v>
      </c>
      <c r="H41" s="30">
        <v>0</v>
      </c>
      <c r="I41" s="30">
        <v>0</v>
      </c>
    </row>
    <row r="42" spans="1:9" ht="25.9" customHeight="1" x14ac:dyDescent="0.2">
      <c r="A42" s="267" t="s">
        <v>408</v>
      </c>
      <c r="B42" s="267"/>
      <c r="C42" s="267"/>
      <c r="D42" s="267"/>
      <c r="E42" s="267"/>
      <c r="F42" s="267"/>
      <c r="G42" s="112">
        <v>33</v>
      </c>
      <c r="H42" s="116">
        <f>H41+H40+H39+H38</f>
        <v>0</v>
      </c>
      <c r="I42" s="116">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30">
        <v>0</v>
      </c>
      <c r="I44" s="30">
        <v>0</v>
      </c>
    </row>
    <row r="45" spans="1:9" ht="12.75" customHeight="1" x14ac:dyDescent="0.2">
      <c r="A45" s="266" t="s">
        <v>241</v>
      </c>
      <c r="B45" s="266"/>
      <c r="C45" s="266"/>
      <c r="D45" s="266"/>
      <c r="E45" s="266"/>
      <c r="F45" s="266"/>
      <c r="G45" s="21">
        <v>36</v>
      </c>
      <c r="H45" s="30">
        <v>0</v>
      </c>
      <c r="I45" s="30">
        <v>0</v>
      </c>
    </row>
    <row r="46" spans="1:9" ht="21" customHeight="1" x14ac:dyDescent="0.2">
      <c r="A46" s="266" t="s">
        <v>242</v>
      </c>
      <c r="B46" s="266"/>
      <c r="C46" s="266"/>
      <c r="D46" s="266"/>
      <c r="E46" s="266"/>
      <c r="F46" s="266"/>
      <c r="G46" s="21">
        <v>37</v>
      </c>
      <c r="H46" s="30">
        <v>0</v>
      </c>
      <c r="I46" s="30">
        <v>0</v>
      </c>
    </row>
    <row r="47" spans="1:9" ht="12.75" customHeight="1" x14ac:dyDescent="0.2">
      <c r="A47" s="266" t="s">
        <v>243</v>
      </c>
      <c r="B47" s="266"/>
      <c r="C47" s="266"/>
      <c r="D47" s="266"/>
      <c r="E47" s="266"/>
      <c r="F47" s="266"/>
      <c r="G47" s="21">
        <v>38</v>
      </c>
      <c r="H47" s="30">
        <v>0</v>
      </c>
      <c r="I47" s="30">
        <v>0</v>
      </c>
    </row>
    <row r="48" spans="1:9" ht="22.9" customHeight="1" x14ac:dyDescent="0.2">
      <c r="A48" s="267" t="s">
        <v>409</v>
      </c>
      <c r="B48" s="267"/>
      <c r="C48" s="267"/>
      <c r="D48" s="267"/>
      <c r="E48" s="267"/>
      <c r="F48" s="267"/>
      <c r="G48" s="112">
        <v>39</v>
      </c>
      <c r="H48" s="116">
        <f>H47+H46+H45+H44+H43</f>
        <v>0</v>
      </c>
      <c r="I48" s="116">
        <f>I47+I46+I45+I44+I43</f>
        <v>0</v>
      </c>
    </row>
    <row r="49" spans="1:9" ht="25.9" customHeight="1" x14ac:dyDescent="0.2">
      <c r="A49" s="268" t="s">
        <v>444</v>
      </c>
      <c r="B49" s="268"/>
      <c r="C49" s="268"/>
      <c r="D49" s="268"/>
      <c r="E49" s="268"/>
      <c r="F49" s="268"/>
      <c r="G49" s="112">
        <v>40</v>
      </c>
      <c r="H49" s="116">
        <f>H48+H42</f>
        <v>0</v>
      </c>
      <c r="I49" s="116">
        <f>I48+I42</f>
        <v>0</v>
      </c>
    </row>
    <row r="50" spans="1:9" ht="12.75" customHeight="1" x14ac:dyDescent="0.2">
      <c r="A50" s="261" t="s">
        <v>244</v>
      </c>
      <c r="B50" s="261"/>
      <c r="C50" s="261"/>
      <c r="D50" s="261"/>
      <c r="E50" s="261"/>
      <c r="F50" s="261"/>
      <c r="G50" s="21">
        <v>41</v>
      </c>
      <c r="H50" s="30">
        <v>0</v>
      </c>
      <c r="I50" s="30">
        <v>0</v>
      </c>
    </row>
    <row r="51" spans="1:9" ht="25.9" customHeight="1" x14ac:dyDescent="0.2">
      <c r="A51" s="268" t="s">
        <v>410</v>
      </c>
      <c r="B51" s="268"/>
      <c r="C51" s="268"/>
      <c r="D51" s="268"/>
      <c r="E51" s="268"/>
      <c r="F51" s="268"/>
      <c r="G51" s="112">
        <v>42</v>
      </c>
      <c r="H51" s="116">
        <f>H21+H36+H49+H50</f>
        <v>0</v>
      </c>
      <c r="I51" s="116">
        <f>I21+I36+I49+I50</f>
        <v>0</v>
      </c>
    </row>
    <row r="52" spans="1:9" ht="12.75" customHeight="1" x14ac:dyDescent="0.2">
      <c r="A52" s="272" t="s">
        <v>218</v>
      </c>
      <c r="B52" s="272"/>
      <c r="C52" s="272"/>
      <c r="D52" s="272"/>
      <c r="E52" s="272"/>
      <c r="F52" s="272"/>
      <c r="G52" s="21">
        <v>43</v>
      </c>
      <c r="H52" s="30">
        <v>0</v>
      </c>
      <c r="I52" s="30">
        <v>0</v>
      </c>
    </row>
    <row r="53" spans="1:9" ht="31.9" customHeight="1" x14ac:dyDescent="0.2">
      <c r="A53" s="265" t="s">
        <v>411</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68" zoomScaleNormal="68" zoomScaleSheetLayoutView="80" workbookViewId="0">
      <pane ySplit="5" topLeftCell="A34" activePane="bottomLeft" state="frozen"/>
      <selection pane="bottomLeft" activeCell="A35" sqref="A35:Y63"/>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2"/>
    </row>
    <row r="2" spans="1:25" ht="15.75" x14ac:dyDescent="0.2">
      <c r="A2" s="2"/>
      <c r="B2" s="3"/>
      <c r="C2" s="302" t="s">
        <v>246</v>
      </c>
      <c r="D2" s="302"/>
      <c r="E2" s="9">
        <v>44197</v>
      </c>
      <c r="F2" s="4" t="s">
        <v>0</v>
      </c>
      <c r="G2" s="9">
        <v>44469</v>
      </c>
      <c r="H2" s="34"/>
      <c r="I2" s="34"/>
      <c r="J2" s="34"/>
      <c r="K2" s="35"/>
      <c r="X2" s="36"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1">
        <v>277879530</v>
      </c>
      <c r="I7" s="41">
        <v>0</v>
      </c>
      <c r="J7" s="41">
        <v>14549784</v>
      </c>
      <c r="K7" s="41">
        <v>0</v>
      </c>
      <c r="L7" s="41">
        <v>2940</v>
      </c>
      <c r="M7" s="41">
        <v>0</v>
      </c>
      <c r="N7" s="41">
        <v>14359224</v>
      </c>
      <c r="O7" s="41">
        <v>0</v>
      </c>
      <c r="P7" s="41">
        <v>-774000</v>
      </c>
      <c r="Q7" s="41">
        <v>-474500</v>
      </c>
      <c r="R7" s="41">
        <v>0</v>
      </c>
      <c r="S7" s="41">
        <v>0</v>
      </c>
      <c r="T7" s="41">
        <v>0</v>
      </c>
      <c r="U7" s="41">
        <v>2745308</v>
      </c>
      <c r="V7" s="41">
        <v>-78464713</v>
      </c>
      <c r="W7" s="42">
        <f>H7+I7+J7+K7-L7+M7+N7+O7+P7+Q7+R7+U7+V7</f>
        <v>229817693</v>
      </c>
      <c r="X7" s="41">
        <v>0</v>
      </c>
      <c r="Y7" s="42">
        <f>W7+X7</f>
        <v>229817693</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0" t="s">
        <v>300</v>
      </c>
      <c r="B10" s="290"/>
      <c r="C10" s="290"/>
      <c r="D10" s="290"/>
      <c r="E10" s="290"/>
      <c r="F10" s="290"/>
      <c r="G10" s="7">
        <v>4</v>
      </c>
      <c r="H10" s="42">
        <f>H7+H8+H9</f>
        <v>277879530</v>
      </c>
      <c r="I10" s="42">
        <f t="shared" ref="I10:Y10" si="2">I7+I8+I9</f>
        <v>0</v>
      </c>
      <c r="J10" s="42">
        <f t="shared" si="2"/>
        <v>14549784</v>
      </c>
      <c r="K10" s="42">
        <f>K7+K8+K9</f>
        <v>0</v>
      </c>
      <c r="L10" s="42">
        <f t="shared" si="2"/>
        <v>2940</v>
      </c>
      <c r="M10" s="42">
        <f t="shared" si="2"/>
        <v>0</v>
      </c>
      <c r="N10" s="42">
        <f t="shared" si="2"/>
        <v>14359224</v>
      </c>
      <c r="O10" s="42">
        <f t="shared" si="2"/>
        <v>0</v>
      </c>
      <c r="P10" s="42">
        <f t="shared" si="2"/>
        <v>-774000</v>
      </c>
      <c r="Q10" s="42">
        <f t="shared" si="2"/>
        <v>-474500</v>
      </c>
      <c r="R10" s="42">
        <f t="shared" si="2"/>
        <v>0</v>
      </c>
      <c r="S10" s="42">
        <f t="shared" si="2"/>
        <v>0</v>
      </c>
      <c r="T10" s="42">
        <f t="shared" si="2"/>
        <v>0</v>
      </c>
      <c r="U10" s="42">
        <f t="shared" si="2"/>
        <v>2745308</v>
      </c>
      <c r="V10" s="42">
        <f t="shared" si="2"/>
        <v>-78464713</v>
      </c>
      <c r="W10" s="42">
        <f t="shared" si="2"/>
        <v>229817693</v>
      </c>
      <c r="X10" s="42">
        <f t="shared" si="2"/>
        <v>0</v>
      </c>
      <c r="Y10" s="42">
        <f t="shared" si="2"/>
        <v>229817693</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f>RDG!H66</f>
        <v>-245969006</v>
      </c>
      <c r="W11" s="42">
        <f t="shared" ref="W11:W29" si="3">H11+I11+J11+K11-L11+M11+N11+O11+P11+Q11+R11+U11+V11+S11+T11</f>
        <v>-245969006</v>
      </c>
      <c r="X11" s="41">
        <v>0</v>
      </c>
      <c r="Y11" s="42">
        <f t="shared" ref="Y11:Y29" si="4">W11+X11</f>
        <v>-245969006</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418</v>
      </c>
      <c r="B14" s="284"/>
      <c r="C14" s="284"/>
      <c r="D14" s="284"/>
      <c r="E14" s="284"/>
      <c r="F14" s="284"/>
      <c r="G14" s="6">
        <v>8</v>
      </c>
      <c r="H14" s="43">
        <v>0</v>
      </c>
      <c r="I14" s="43">
        <v>0</v>
      </c>
      <c r="J14" s="43">
        <v>0</v>
      </c>
      <c r="K14" s="43">
        <v>0</v>
      </c>
      <c r="L14" s="43">
        <v>0</v>
      </c>
      <c r="M14" s="43">
        <v>0</v>
      </c>
      <c r="N14" s="43">
        <v>0</v>
      </c>
      <c r="O14" s="43">
        <v>0</v>
      </c>
      <c r="P14" s="41">
        <f>RDG!H100</f>
        <v>-256968</v>
      </c>
      <c r="Q14" s="43">
        <v>0</v>
      </c>
      <c r="R14" s="43">
        <v>0</v>
      </c>
      <c r="S14" s="41">
        <v>0</v>
      </c>
      <c r="T14" s="41">
        <v>0</v>
      </c>
      <c r="U14" s="41">
        <v>0</v>
      </c>
      <c r="V14" s="41">
        <v>0</v>
      </c>
      <c r="W14" s="42">
        <f t="shared" si="3"/>
        <v>-256968</v>
      </c>
      <c r="X14" s="41">
        <v>0</v>
      </c>
      <c r="Y14" s="42">
        <f t="shared" si="4"/>
        <v>-256968</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f>RDG!H101</f>
        <v>-630095</v>
      </c>
      <c r="R15" s="43">
        <v>0</v>
      </c>
      <c r="S15" s="41">
        <v>0</v>
      </c>
      <c r="T15" s="41">
        <v>0</v>
      </c>
      <c r="U15" s="41">
        <v>0</v>
      </c>
      <c r="V15" s="41">
        <v>0</v>
      </c>
      <c r="W15" s="42">
        <f t="shared" si="3"/>
        <v>-630095</v>
      </c>
      <c r="X15" s="41">
        <v>0</v>
      </c>
      <c r="Y15" s="42">
        <f t="shared" si="4"/>
        <v>-630095</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4" t="s">
        <v>424</v>
      </c>
      <c r="B28" s="284"/>
      <c r="C28" s="284"/>
      <c r="D28" s="284"/>
      <c r="E28" s="284"/>
      <c r="F28" s="284"/>
      <c r="G28" s="6">
        <v>22</v>
      </c>
      <c r="H28" s="41">
        <v>0</v>
      </c>
      <c r="I28" s="41">
        <v>0</v>
      </c>
      <c r="J28" s="41">
        <v>-14549784</v>
      </c>
      <c r="K28" s="41">
        <v>0</v>
      </c>
      <c r="L28" s="41">
        <v>0</v>
      </c>
      <c r="M28" s="41">
        <v>0</v>
      </c>
      <c r="N28" s="41">
        <v>-11746093</v>
      </c>
      <c r="O28" s="41">
        <v>0</v>
      </c>
      <c r="P28" s="41">
        <v>0</v>
      </c>
      <c r="Q28" s="41">
        <v>0</v>
      </c>
      <c r="R28" s="41">
        <v>0</v>
      </c>
      <c r="S28" s="41">
        <v>0</v>
      </c>
      <c r="T28" s="41">
        <v>0</v>
      </c>
      <c r="U28" s="41">
        <v>-52090042</v>
      </c>
      <c r="V28" s="41">
        <v>78464713</v>
      </c>
      <c r="W28" s="42">
        <f t="shared" si="3"/>
        <v>78794</v>
      </c>
      <c r="X28" s="41">
        <v>0</v>
      </c>
      <c r="Y28" s="42">
        <f t="shared" si="4"/>
        <v>78794</v>
      </c>
    </row>
    <row r="29" spans="1:25" ht="12.75" customHeight="1" x14ac:dyDescent="0.2">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5" t="s">
        <v>426</v>
      </c>
      <c r="B30" s="285"/>
      <c r="C30" s="285"/>
      <c r="D30" s="285"/>
      <c r="E30" s="285"/>
      <c r="F30" s="285"/>
      <c r="G30" s="8">
        <v>24</v>
      </c>
      <c r="H30" s="44">
        <f>SUM(H10:H29)</f>
        <v>277879530</v>
      </c>
      <c r="I30" s="44">
        <f t="shared" ref="I30:Y30" si="5">SUM(I10:I29)</f>
        <v>0</v>
      </c>
      <c r="J30" s="44">
        <f t="shared" si="5"/>
        <v>0</v>
      </c>
      <c r="K30" s="44">
        <f t="shared" si="5"/>
        <v>0</v>
      </c>
      <c r="L30" s="44">
        <f t="shared" si="5"/>
        <v>0</v>
      </c>
      <c r="M30" s="44">
        <f t="shared" si="5"/>
        <v>0</v>
      </c>
      <c r="N30" s="44">
        <f t="shared" si="5"/>
        <v>2613131</v>
      </c>
      <c r="O30" s="44">
        <f t="shared" si="5"/>
        <v>0</v>
      </c>
      <c r="P30" s="44">
        <f t="shared" si="5"/>
        <v>-1030968</v>
      </c>
      <c r="Q30" s="44">
        <f t="shared" si="5"/>
        <v>-1104595</v>
      </c>
      <c r="R30" s="44">
        <f t="shared" si="5"/>
        <v>0</v>
      </c>
      <c r="S30" s="44">
        <f t="shared" si="5"/>
        <v>0</v>
      </c>
      <c r="T30" s="44">
        <f t="shared" si="5"/>
        <v>0</v>
      </c>
      <c r="U30" s="44">
        <f t="shared" si="5"/>
        <v>-49344734</v>
      </c>
      <c r="V30" s="44">
        <f t="shared" si="5"/>
        <v>-245969006</v>
      </c>
      <c r="W30" s="44">
        <f t="shared" si="5"/>
        <v>-16956642</v>
      </c>
      <c r="X30" s="44">
        <f t="shared" si="5"/>
        <v>0</v>
      </c>
      <c r="Y30" s="44">
        <f t="shared" si="5"/>
        <v>-16956642</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-256968</v>
      </c>
      <c r="Q32" s="42">
        <f t="shared" si="6"/>
        <v>-630095</v>
      </c>
      <c r="R32" s="42">
        <f t="shared" si="6"/>
        <v>0</v>
      </c>
      <c r="S32" s="42">
        <f t="shared" ref="S32:T32" si="7">SUM(S12:S20)</f>
        <v>0</v>
      </c>
      <c r="T32" s="42">
        <f t="shared" si="7"/>
        <v>0</v>
      </c>
      <c r="U32" s="42">
        <f t="shared" si="6"/>
        <v>0</v>
      </c>
      <c r="V32" s="42">
        <f t="shared" si="6"/>
        <v>0</v>
      </c>
      <c r="W32" s="42">
        <f t="shared" si="6"/>
        <v>-884123</v>
      </c>
      <c r="X32" s="42">
        <f t="shared" si="6"/>
        <v>0</v>
      </c>
      <c r="Y32" s="42">
        <f t="shared" si="6"/>
        <v>-884123</v>
      </c>
    </row>
    <row r="33" spans="1:25" ht="31.5" customHeight="1" x14ac:dyDescent="0.2">
      <c r="A33" s="282" t="s">
        <v>427</v>
      </c>
      <c r="B33" s="282"/>
      <c r="C33" s="282"/>
      <c r="D33" s="282"/>
      <c r="E33" s="282"/>
      <c r="F33" s="282"/>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-256968</v>
      </c>
      <c r="Q33" s="42">
        <f t="shared" si="8"/>
        <v>-630095</v>
      </c>
      <c r="R33" s="42">
        <f t="shared" si="8"/>
        <v>0</v>
      </c>
      <c r="S33" s="42">
        <f t="shared" ref="S33:T33" si="9">S11+S32</f>
        <v>0</v>
      </c>
      <c r="T33" s="42">
        <f t="shared" si="9"/>
        <v>0</v>
      </c>
      <c r="U33" s="42">
        <f t="shared" si="8"/>
        <v>0</v>
      </c>
      <c r="V33" s="42">
        <f t="shared" si="8"/>
        <v>-245969006</v>
      </c>
      <c r="W33" s="42">
        <f t="shared" si="8"/>
        <v>-246853129</v>
      </c>
      <c r="X33" s="42">
        <f t="shared" si="8"/>
        <v>0</v>
      </c>
      <c r="Y33" s="42">
        <f t="shared" si="8"/>
        <v>-246853129</v>
      </c>
    </row>
    <row r="34" spans="1:25" ht="30.75" customHeight="1" x14ac:dyDescent="0.2">
      <c r="A34" s="283" t="s">
        <v>428</v>
      </c>
      <c r="B34" s="283"/>
      <c r="C34" s="283"/>
      <c r="D34" s="283"/>
      <c r="E34" s="283"/>
      <c r="F34" s="283"/>
      <c r="G34" s="8">
        <v>27</v>
      </c>
      <c r="H34" s="44">
        <f>SUM(H21:H29)</f>
        <v>0</v>
      </c>
      <c r="I34" s="44">
        <f t="shared" ref="I34:Y34" si="10">SUM(I21:I29)</f>
        <v>0</v>
      </c>
      <c r="J34" s="44">
        <f t="shared" si="10"/>
        <v>-14549784</v>
      </c>
      <c r="K34" s="44">
        <f t="shared" si="10"/>
        <v>0</v>
      </c>
      <c r="L34" s="44">
        <f t="shared" si="10"/>
        <v>0</v>
      </c>
      <c r="M34" s="44">
        <f t="shared" si="10"/>
        <v>0</v>
      </c>
      <c r="N34" s="44">
        <f t="shared" si="10"/>
        <v>-11746093</v>
      </c>
      <c r="O34" s="44">
        <f t="shared" si="10"/>
        <v>0</v>
      </c>
      <c r="P34" s="44">
        <f t="shared" si="10"/>
        <v>0</v>
      </c>
      <c r="Q34" s="44">
        <f t="shared" si="10"/>
        <v>0</v>
      </c>
      <c r="R34" s="44">
        <f t="shared" si="10"/>
        <v>0</v>
      </c>
      <c r="S34" s="44">
        <f t="shared" ref="S34:T34" si="11">SUM(S21:S29)</f>
        <v>0</v>
      </c>
      <c r="T34" s="44">
        <f t="shared" si="11"/>
        <v>0</v>
      </c>
      <c r="U34" s="44">
        <f t="shared" si="10"/>
        <v>-52090042</v>
      </c>
      <c r="V34" s="44">
        <f t="shared" si="10"/>
        <v>78464713</v>
      </c>
      <c r="W34" s="44">
        <f t="shared" si="10"/>
        <v>78794</v>
      </c>
      <c r="X34" s="44">
        <f t="shared" si="10"/>
        <v>0</v>
      </c>
      <c r="Y34" s="44">
        <f t="shared" si="10"/>
        <v>78794</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1">
        <v>277879530</v>
      </c>
      <c r="I36" s="41">
        <v>350000000</v>
      </c>
      <c r="J36" s="41">
        <v>0</v>
      </c>
      <c r="K36" s="41">
        <v>0</v>
      </c>
      <c r="L36" s="41">
        <v>0</v>
      </c>
      <c r="M36" s="41">
        <v>0</v>
      </c>
      <c r="N36" s="41">
        <v>2613131</v>
      </c>
      <c r="O36" s="41">
        <v>0</v>
      </c>
      <c r="P36" s="41">
        <v>-975240</v>
      </c>
      <c r="Q36" s="41">
        <v>-1010713</v>
      </c>
      <c r="R36" s="41">
        <v>0</v>
      </c>
      <c r="S36" s="41">
        <v>0</v>
      </c>
      <c r="T36" s="41">
        <v>0</v>
      </c>
      <c r="U36" s="41">
        <v>-49423529</v>
      </c>
      <c r="V36" s="41">
        <v>-360778592</v>
      </c>
      <c r="W36" s="45">
        <f>H36+I36+J36+K36-L36+M36+N36+O36+P36+Q36+R36+U36+V36+S36+T36</f>
        <v>218304587</v>
      </c>
      <c r="X36" s="41">
        <v>0</v>
      </c>
      <c r="Y36" s="45">
        <f t="shared" ref="Y36:Y38" si="12">W36+X36</f>
        <v>218304587</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0" t="s">
        <v>429</v>
      </c>
      <c r="B39" s="290"/>
      <c r="C39" s="290"/>
      <c r="D39" s="290"/>
      <c r="E39" s="290"/>
      <c r="F39" s="290"/>
      <c r="G39" s="7">
        <v>31</v>
      </c>
      <c r="H39" s="42">
        <f>H36+H37+H38</f>
        <v>277879530</v>
      </c>
      <c r="I39" s="42">
        <f t="shared" ref="I39:Y39" si="14">I36+I37+I38</f>
        <v>350000000</v>
      </c>
      <c r="J39" s="42">
        <f t="shared" si="14"/>
        <v>0</v>
      </c>
      <c r="K39" s="42">
        <f t="shared" si="14"/>
        <v>0</v>
      </c>
      <c r="L39" s="42">
        <f t="shared" si="14"/>
        <v>0</v>
      </c>
      <c r="M39" s="42">
        <f t="shared" si="14"/>
        <v>0</v>
      </c>
      <c r="N39" s="42">
        <f t="shared" si="14"/>
        <v>2613131</v>
      </c>
      <c r="O39" s="42">
        <f t="shared" si="14"/>
        <v>0</v>
      </c>
      <c r="P39" s="42">
        <f t="shared" si="14"/>
        <v>-975240</v>
      </c>
      <c r="Q39" s="42">
        <f t="shared" si="14"/>
        <v>-1010713</v>
      </c>
      <c r="R39" s="42">
        <f t="shared" si="14"/>
        <v>0</v>
      </c>
      <c r="S39" s="42">
        <f t="shared" si="14"/>
        <v>0</v>
      </c>
      <c r="T39" s="42">
        <f t="shared" si="14"/>
        <v>0</v>
      </c>
      <c r="U39" s="42">
        <f t="shared" si="14"/>
        <v>-49423529</v>
      </c>
      <c r="V39" s="42">
        <f t="shared" si="14"/>
        <v>-360778592</v>
      </c>
      <c r="W39" s="42">
        <f t="shared" si="14"/>
        <v>218304587</v>
      </c>
      <c r="X39" s="42">
        <f t="shared" si="14"/>
        <v>0</v>
      </c>
      <c r="Y39" s="42">
        <f t="shared" si="14"/>
        <v>218304587</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f>RDG!J66</f>
        <v>-166650499</v>
      </c>
      <c r="W40" s="45">
        <f t="shared" ref="W40:W58" si="15">H40+I40+J40+K40-L40+M40+N40+O40+P40+Q40+R40+U40+V40+S40+T40</f>
        <v>-166650499</v>
      </c>
      <c r="X40" s="41">
        <v>0</v>
      </c>
      <c r="Y40" s="45">
        <f t="shared" ref="Y40:Y58" si="16">W40+X40</f>
        <v>-166650499</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4" t="s">
        <v>418</v>
      </c>
      <c r="B43" s="284"/>
      <c r="C43" s="284"/>
      <c r="D43" s="284"/>
      <c r="E43" s="284"/>
      <c r="F43" s="284"/>
      <c r="G43" s="6">
        <v>35</v>
      </c>
      <c r="H43" s="43">
        <v>0</v>
      </c>
      <c r="I43" s="43">
        <v>0</v>
      </c>
      <c r="J43" s="43">
        <v>0</v>
      </c>
      <c r="K43" s="43">
        <v>0</v>
      </c>
      <c r="L43" s="43">
        <v>0</v>
      </c>
      <c r="M43" s="43">
        <v>0</v>
      </c>
      <c r="N43" s="43">
        <v>0</v>
      </c>
      <c r="O43" s="43">
        <v>0</v>
      </c>
      <c r="P43" s="41">
        <f>RDG!J100</f>
        <v>154800</v>
      </c>
      <c r="Q43" s="43">
        <v>0</v>
      </c>
      <c r="R43" s="43">
        <v>0</v>
      </c>
      <c r="S43" s="41">
        <v>0</v>
      </c>
      <c r="T43" s="41">
        <v>0</v>
      </c>
      <c r="U43" s="41">
        <v>0</v>
      </c>
      <c r="V43" s="41">
        <v>0</v>
      </c>
      <c r="W43" s="45">
        <f t="shared" si="15"/>
        <v>154800</v>
      </c>
      <c r="X43" s="41">
        <v>0</v>
      </c>
      <c r="Y43" s="45">
        <f t="shared" si="16"/>
        <v>154800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f>RDG!J101-1</f>
        <v>414501</v>
      </c>
      <c r="R44" s="43">
        <v>0</v>
      </c>
      <c r="S44" s="41">
        <v>0</v>
      </c>
      <c r="T44" s="41">
        <v>0</v>
      </c>
      <c r="U44" s="41">
        <v>0</v>
      </c>
      <c r="V44" s="41">
        <v>0</v>
      </c>
      <c r="W44" s="45">
        <f t="shared" si="15"/>
        <v>414501</v>
      </c>
      <c r="X44" s="41">
        <v>0</v>
      </c>
      <c r="Y44" s="45">
        <f t="shared" si="16"/>
        <v>414501</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4" t="s">
        <v>419</v>
      </c>
      <c r="B50" s="284"/>
      <c r="C50" s="284"/>
      <c r="D50" s="284"/>
      <c r="E50" s="284"/>
      <c r="F50" s="284"/>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4" t="s">
        <v>431</v>
      </c>
      <c r="B57" s="284"/>
      <c r="C57" s="284"/>
      <c r="D57" s="284"/>
      <c r="E57" s="284"/>
      <c r="F57" s="284"/>
      <c r="G57" s="6">
        <v>49</v>
      </c>
      <c r="H57" s="41">
        <v>0</v>
      </c>
      <c r="I57" s="41">
        <v>0</v>
      </c>
      <c r="J57" s="41">
        <v>0</v>
      </c>
      <c r="K57" s="41">
        <v>0</v>
      </c>
      <c r="L57" s="41">
        <v>0</v>
      </c>
      <c r="M57" s="41">
        <v>0</v>
      </c>
      <c r="N57" s="41">
        <v>-160861</v>
      </c>
      <c r="O57" s="41">
        <v>0</v>
      </c>
      <c r="P57" s="41">
        <v>0</v>
      </c>
      <c r="Q57" s="41">
        <v>0</v>
      </c>
      <c r="R57" s="41">
        <v>0</v>
      </c>
      <c r="S57" s="41">
        <v>0</v>
      </c>
      <c r="T57" s="41">
        <v>0</v>
      </c>
      <c r="U57" s="41">
        <v>-360617730</v>
      </c>
      <c r="V57" s="41">
        <v>360778592</v>
      </c>
      <c r="W57" s="45">
        <f t="shared" si="15"/>
        <v>1</v>
      </c>
      <c r="X57" s="41">
        <v>0</v>
      </c>
      <c r="Y57" s="45">
        <f t="shared" si="16"/>
        <v>1</v>
      </c>
    </row>
    <row r="58" spans="1:25" ht="12.75" customHeight="1" x14ac:dyDescent="0.2">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5" t="s">
        <v>432</v>
      </c>
      <c r="B59" s="285"/>
      <c r="C59" s="285"/>
      <c r="D59" s="285"/>
      <c r="E59" s="285"/>
      <c r="F59" s="285"/>
      <c r="G59" s="8">
        <v>51</v>
      </c>
      <c r="H59" s="44">
        <f>SUM(H39:H58)</f>
        <v>627879530</v>
      </c>
      <c r="I59" s="44">
        <f t="shared" ref="I59:Y59" si="17">SUM(I39:I58)</f>
        <v>0</v>
      </c>
      <c r="J59" s="44">
        <f t="shared" si="17"/>
        <v>0</v>
      </c>
      <c r="K59" s="44">
        <f t="shared" si="17"/>
        <v>0</v>
      </c>
      <c r="L59" s="44">
        <f t="shared" si="17"/>
        <v>0</v>
      </c>
      <c r="M59" s="44">
        <f t="shared" si="17"/>
        <v>0</v>
      </c>
      <c r="N59" s="44">
        <f t="shared" si="17"/>
        <v>2452270</v>
      </c>
      <c r="O59" s="44">
        <f t="shared" si="17"/>
        <v>0</v>
      </c>
      <c r="P59" s="44">
        <f t="shared" si="17"/>
        <v>-820440</v>
      </c>
      <c r="Q59" s="44">
        <f t="shared" si="17"/>
        <v>-596212</v>
      </c>
      <c r="R59" s="44">
        <f t="shared" si="17"/>
        <v>0</v>
      </c>
      <c r="S59" s="44">
        <f t="shared" si="17"/>
        <v>0</v>
      </c>
      <c r="T59" s="44">
        <f t="shared" si="17"/>
        <v>0</v>
      </c>
      <c r="U59" s="44">
        <f t="shared" si="17"/>
        <v>-410041259</v>
      </c>
      <c r="V59" s="44">
        <f t="shared" si="17"/>
        <v>-166650499</v>
      </c>
      <c r="W59" s="44">
        <f t="shared" si="17"/>
        <v>52223390</v>
      </c>
      <c r="X59" s="44">
        <f t="shared" si="17"/>
        <v>0</v>
      </c>
      <c r="Y59" s="44">
        <f t="shared" si="17"/>
        <v>52223390</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433</v>
      </c>
      <c r="B61" s="282"/>
      <c r="C61" s="282"/>
      <c r="D61" s="282"/>
      <c r="E61" s="282"/>
      <c r="F61" s="28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154800</v>
      </c>
      <c r="Q61" s="45">
        <f t="shared" si="18"/>
        <v>414501</v>
      </c>
      <c r="R61" s="45">
        <f t="shared" si="18"/>
        <v>0</v>
      </c>
      <c r="S61" s="45">
        <f t="shared" ref="S61:T61" si="19">SUM(S41:S49)</f>
        <v>0</v>
      </c>
      <c r="T61" s="45">
        <f t="shared" si="19"/>
        <v>0</v>
      </c>
      <c r="U61" s="45">
        <f t="shared" si="18"/>
        <v>0</v>
      </c>
      <c r="V61" s="45">
        <f t="shared" si="18"/>
        <v>0</v>
      </c>
      <c r="W61" s="45">
        <f t="shared" si="18"/>
        <v>569301</v>
      </c>
      <c r="X61" s="45">
        <f t="shared" si="18"/>
        <v>0</v>
      </c>
      <c r="Y61" s="45">
        <f t="shared" si="18"/>
        <v>569301</v>
      </c>
    </row>
    <row r="62" spans="1:25" ht="27.75" customHeight="1" x14ac:dyDescent="0.2">
      <c r="A62" s="282" t="s">
        <v>434</v>
      </c>
      <c r="B62" s="282"/>
      <c r="C62" s="282"/>
      <c r="D62" s="282"/>
      <c r="E62" s="282"/>
      <c r="F62" s="28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154800</v>
      </c>
      <c r="Q62" s="45">
        <f t="shared" si="20"/>
        <v>414501</v>
      </c>
      <c r="R62" s="45">
        <f t="shared" si="20"/>
        <v>0</v>
      </c>
      <c r="S62" s="45">
        <f t="shared" ref="S62:T62" si="21">S40+S61</f>
        <v>0</v>
      </c>
      <c r="T62" s="45">
        <f t="shared" si="21"/>
        <v>0</v>
      </c>
      <c r="U62" s="45">
        <f t="shared" si="20"/>
        <v>0</v>
      </c>
      <c r="V62" s="45">
        <f t="shared" si="20"/>
        <v>-166650499</v>
      </c>
      <c r="W62" s="45">
        <f t="shared" si="20"/>
        <v>-166081198</v>
      </c>
      <c r="X62" s="45">
        <f t="shared" si="20"/>
        <v>0</v>
      </c>
      <c r="Y62" s="45">
        <f t="shared" si="20"/>
        <v>-166081198</v>
      </c>
    </row>
    <row r="63" spans="1:25" ht="29.25" customHeight="1" x14ac:dyDescent="0.2">
      <c r="A63" s="283" t="s">
        <v>435</v>
      </c>
      <c r="B63" s="283"/>
      <c r="C63" s="283"/>
      <c r="D63" s="283"/>
      <c r="E63" s="283"/>
      <c r="F63" s="283"/>
      <c r="G63" s="8">
        <v>54</v>
      </c>
      <c r="H63" s="46">
        <f>SUM(H50:H58)</f>
        <v>350000000</v>
      </c>
      <c r="I63" s="46">
        <f t="shared" ref="I63:Y63" si="22">SUM(I50:I58)</f>
        <v>-350000000</v>
      </c>
      <c r="J63" s="46">
        <f t="shared" si="22"/>
        <v>0</v>
      </c>
      <c r="K63" s="46">
        <f t="shared" si="22"/>
        <v>0</v>
      </c>
      <c r="L63" s="46">
        <f t="shared" si="22"/>
        <v>0</v>
      </c>
      <c r="M63" s="46">
        <f t="shared" si="22"/>
        <v>0</v>
      </c>
      <c r="N63" s="46">
        <f t="shared" si="22"/>
        <v>-160861</v>
      </c>
      <c r="O63" s="46">
        <f t="shared" si="22"/>
        <v>0</v>
      </c>
      <c r="P63" s="46">
        <f t="shared" si="22"/>
        <v>0</v>
      </c>
      <c r="Q63" s="46">
        <f t="shared" si="22"/>
        <v>0</v>
      </c>
      <c r="R63" s="46">
        <f t="shared" si="22"/>
        <v>0</v>
      </c>
      <c r="S63" s="46">
        <f t="shared" ref="S63:T63" si="23">SUM(S50:S58)</f>
        <v>0</v>
      </c>
      <c r="T63" s="46">
        <f t="shared" si="23"/>
        <v>0</v>
      </c>
      <c r="U63" s="46">
        <f t="shared" si="22"/>
        <v>-360617730</v>
      </c>
      <c r="V63" s="46">
        <f t="shared" si="22"/>
        <v>360778592</v>
      </c>
      <c r="W63" s="46">
        <f t="shared" si="22"/>
        <v>1</v>
      </c>
      <c r="X63" s="46">
        <f t="shared" si="22"/>
        <v>0</v>
      </c>
      <c r="Y63" s="46">
        <f t="shared" si="22"/>
        <v>1</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Normal="100" zoomScaleSheetLayoutView="90" workbookViewId="0">
      <selection sqref="A1:I40"/>
    </sheetView>
  </sheetViews>
  <sheetFormatPr defaultRowHeight="12.75" x14ac:dyDescent="0.2"/>
  <cols>
    <col min="9" max="9" width="29.7109375" customWidth="1"/>
    <col min="13" max="13" width="10.5703125" bestFit="1" customWidth="1"/>
  </cols>
  <sheetData>
    <row r="1" spans="1:9" ht="12.75" customHeight="1" x14ac:dyDescent="0.2">
      <c r="A1" s="309" t="s">
        <v>473</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85" customHeight="1" x14ac:dyDescent="0.2">
      <c r="A40" s="310"/>
      <c r="B40" s="310"/>
      <c r="C40" s="310"/>
      <c r="D40" s="310"/>
      <c r="E40" s="310"/>
      <c r="F40" s="310"/>
      <c r="G40" s="310"/>
      <c r="H40" s="310"/>
      <c r="I40" s="310"/>
    </row>
  </sheetData>
  <mergeCells count="1">
    <mergeCell ref="A1:I40"/>
  </mergeCells>
  <pageMargins left="0.70866141732283472" right="0.70866141732283472"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2021-10-28T10:40:03Z</cp:lastPrinted>
  <dcterms:created xsi:type="dcterms:W3CDTF">2008-10-17T11:51:54Z</dcterms:created>
  <dcterms:modified xsi:type="dcterms:W3CDTF">2021-10-29T07:41:58Z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