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Y:\JAVNA OBJAVA\2024 JAVNA OBJAVA ZTK\1-3 2024 CTN GRUPA\"/>
    </mc:Choice>
  </mc:AlternateContent>
  <xr:revisionPtr revIDLastSave="0" documentId="13_ncr:1_{5DD2DEB2-4108-489B-89F8-57B48292583D}"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0" l="1"/>
  <c r="I53" i="20"/>
  <c r="I17" i="20"/>
  <c r="I21" i="20"/>
  <c r="I20" i="20"/>
  <c r="P43" i="22"/>
  <c r="N57" i="22"/>
  <c r="N36" i="22"/>
  <c r="O36" i="22"/>
  <c r="V11" i="22"/>
  <c r="I14" i="20"/>
  <c r="I13" i="20"/>
  <c r="I58" i="20"/>
  <c r="H23" i="20"/>
  <c r="I10" i="20"/>
  <c r="I8" i="20"/>
  <c r="I132" i="18"/>
  <c r="I93" i="18"/>
  <c r="K112" i="26"/>
  <c r="J112" i="26"/>
  <c r="H112" i="26"/>
  <c r="I112" i="26" s="1"/>
  <c r="I76" i="18"/>
  <c r="I83" i="18"/>
  <c r="I56" i="18"/>
  <c r="I105" i="18"/>
  <c r="I10" i="26"/>
  <c r="I11" i="26"/>
  <c r="I12" i="26"/>
  <c r="I13" i="26"/>
  <c r="I17" i="26"/>
  <c r="I89" i="26"/>
  <c r="I52" i="26"/>
  <c r="I51" i="26"/>
  <c r="I49" i="26"/>
  <c r="I45" i="26"/>
  <c r="I44" i="26"/>
  <c r="I36" i="26"/>
  <c r="I22" i="26"/>
  <c r="I23" i="26"/>
  <c r="I24" i="26"/>
  <c r="I25" i="26"/>
  <c r="I21" i="26"/>
  <c r="I19" i="26"/>
  <c r="I9" i="26"/>
  <c r="K106" i="26" l="1"/>
  <c r="K52" i="26"/>
  <c r="K51" i="26"/>
  <c r="K49" i="26"/>
  <c r="K45" i="26"/>
  <c r="K44" i="26"/>
  <c r="K36" i="26"/>
  <c r="K22" i="26"/>
  <c r="K23" i="26"/>
  <c r="K24" i="26"/>
  <c r="K25" i="26"/>
  <c r="K21" i="26"/>
  <c r="K19" i="26"/>
  <c r="K17" i="26"/>
  <c r="K41" i="26"/>
  <c r="K10" i="26"/>
  <c r="K11" i="26"/>
  <c r="K12" i="26"/>
  <c r="K13" i="26"/>
  <c r="K9" i="26"/>
  <c r="P36" i="22" l="1"/>
  <c r="I36" i="22"/>
  <c r="H54" i="22" s="1"/>
  <c r="H36" i="22"/>
  <c r="Q15" i="22"/>
  <c r="I91" i="18"/>
  <c r="I54" i="22"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9"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109" i="26" s="1"/>
  <c r="I63" i="26"/>
  <c r="K63" i="26"/>
  <c r="J64" i="26"/>
  <c r="K64" i="26"/>
  <c r="J62" i="26"/>
  <c r="J63" i="26"/>
  <c r="H63" i="26"/>
  <c r="K62" i="26"/>
  <c r="K66" i="26" s="1"/>
  <c r="K89" i="26" s="1"/>
  <c r="K109" i="26" s="1"/>
  <c r="H62" i="26"/>
  <c r="H64" i="26"/>
  <c r="I51" i="21"/>
  <c r="I53" i="21" s="1"/>
  <c r="H51" i="21"/>
  <c r="H53" i="21" s="1"/>
  <c r="H68" i="26" l="1"/>
  <c r="W11" i="22"/>
  <c r="J67" i="26"/>
  <c r="V40" i="22"/>
  <c r="W40" i="22" s="1"/>
  <c r="I67" i="26"/>
  <c r="I68" i="26"/>
  <c r="J66" i="26"/>
  <c r="J89" i="26" s="1"/>
  <c r="J109" i="26" s="1"/>
  <c r="J68" i="26"/>
  <c r="K67" i="26"/>
  <c r="K68" i="26"/>
  <c r="H66" i="26"/>
  <c r="H109" i="26" s="1"/>
  <c r="H67" i="26"/>
  <c r="I85" i="18"/>
  <c r="H85" i="18"/>
  <c r="I78" i="18" l="1"/>
  <c r="H78" i="18"/>
  <c r="H54" i="20" l="1"/>
  <c r="H48" i="20"/>
  <c r="H41" i="20"/>
  <c r="H35" i="20"/>
  <c r="H19" i="20"/>
  <c r="I9" i="20"/>
  <c r="H117" i="18"/>
  <c r="H105" i="18"/>
  <c r="H98" i="18"/>
  <c r="H94" i="18"/>
  <c r="V36" i="22" s="1"/>
  <c r="H91" i="18"/>
  <c r="U36" i="22" s="1"/>
  <c r="H60" i="18"/>
  <c r="H53" i="18"/>
  <c r="H45" i="18"/>
  <c r="H38" i="18"/>
  <c r="H27" i="18"/>
  <c r="H17" i="18"/>
  <c r="H10" i="18"/>
  <c r="H63" i="22"/>
  <c r="H61" i="22"/>
  <c r="H62" i="22" s="1"/>
  <c r="H39" i="22"/>
  <c r="H59" i="22" s="1"/>
  <c r="H34" i="22"/>
  <c r="H32" i="22"/>
  <c r="H33" i="22" s="1"/>
  <c r="K10" i="22"/>
  <c r="V57" i="22" l="1"/>
  <c r="W36" i="22"/>
  <c r="Y36" i="22" s="1"/>
  <c r="H42" i="20"/>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98" i="18"/>
  <c r="I94" i="18"/>
  <c r="I60" i="18"/>
  <c r="I53" i="18"/>
  <c r="I45" i="18"/>
  <c r="I38" i="18"/>
  <c r="I27" i="18"/>
  <c r="I17" i="18"/>
  <c r="I10" i="18"/>
  <c r="H57" i="20" l="1"/>
  <c r="H59" i="20" s="1"/>
  <c r="W57" i="22"/>
  <c r="Y57" i="22" s="1"/>
  <c r="Y63" i="22" s="1"/>
  <c r="U30" i="22"/>
  <c r="I24" i="20"/>
  <c r="I27" i="20" s="1"/>
  <c r="I55" i="20"/>
  <c r="H72" i="18"/>
  <c r="I44" i="18"/>
  <c r="I75" i="18"/>
  <c r="I9" i="18"/>
  <c r="I42" i="20"/>
  <c r="Y61" i="22"/>
  <c r="Y62" i="22" s="1"/>
  <c r="W61" i="22"/>
  <c r="W62" i="22" s="1"/>
  <c r="Y32" i="22"/>
  <c r="Y33" i="22" s="1"/>
  <c r="W32" i="22"/>
  <c r="W33" i="22" s="1"/>
  <c r="Y39" i="22"/>
  <c r="W39" i="22"/>
  <c r="Y10" i="22"/>
  <c r="W10" i="22"/>
  <c r="W59" i="22" l="1"/>
  <c r="W63" i="22"/>
  <c r="Y59" i="22"/>
  <c r="W28" i="22"/>
  <c r="U34" i="22"/>
  <c r="I57" i="20"/>
  <c r="I59" i="20" s="1"/>
  <c r="I72" i="18"/>
  <c r="I117" i="18"/>
  <c r="I133" i="18" s="1"/>
  <c r="Y28" i="22" l="1"/>
  <c r="W34" i="22"/>
  <c r="V34" i="22"/>
  <c r="V30" i="22"/>
  <c r="W30" i="22"/>
  <c r="Y34" i="22" l="1"/>
  <c r="Y30" i="22"/>
</calcChain>
</file>

<file path=xl/sharedStrings.xml><?xml version="1.0" encoding="utf-8"?>
<sst xmlns="http://schemas.openxmlformats.org/spreadsheetml/2006/main" count="540" uniqueCount="475">
  <si>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</si>
  <si>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</si>
  <si>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</si>
  <si>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</si>
  <si>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</si>
  <si>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</si>
  <si>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</si>
  <si>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</si>
  <si>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</si>
  <si>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</si>
  <si>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</si>
  <si>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</si>
  <si>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</si>
  <si>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</si>
  <si>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</si>
  <si>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</si>
  <si>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</si>
  <si>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</si>
  <si>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</si>
  <si>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</si>
  <si>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</si>
  <si>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</si>
  <si>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</si>
  <si>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</si>
  <si>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</si>
  <si>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</si>
  <si>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</si>
  <si>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</si>
  <si>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</si>
  <si>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</si>
  <si>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</si>
  <si>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</si>
  <si>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</si>
  <si>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</si>
  <si>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</si>
  <si>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</si>
  <si>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</si>
  <si>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</si>
  <si>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</si>
  <si>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</si>
  <si>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</si>
  <si>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</si>
  <si>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</si>
  <si>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</si>
  <si>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</si>
  <si>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</si>
  <si>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</si>
  <si>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</si>
  <si>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</si>
  <si>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</si>
  <si>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</si>
  <si>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</si>
  <si>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</si>
  <si>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</si>
  <si>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</si>
  <si>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</si>
  <si>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</si>
  <si>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</si>
  <si>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</si>
  <si>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</si>
  <si>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</si>
  <si>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</si>
  <si>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</si>
  <si>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</si>
  <si>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</si>
  <si>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</si>
  <si>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</si>
  <si>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</si>
  <si>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</si>
  <si>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</si>
  <si>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</si>
  <si>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</si>
  <si>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</si>
  <si>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</si>
  <si>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</si>
  <si>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</si>
  <si>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</si>
  <si>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</si>
  <si>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</si>
  <si>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</si>
  <si>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</si>
  <si>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</si>
  <si>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</si>
  <si>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</si>
  <si>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</si>
  <si>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</si>
  <si>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</si>
  <si>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</si>
  <si>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</si>
  <si>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</si>
  <si>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</si>
  <si>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</si>
  <si>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</si>
  <si>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</si>
  <si>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</si>
  <si>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</si>
  <si>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</si>
  <si>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</si>
  <si>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</si>
  <si>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</si>
  <si>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</si>
  <si>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</si>
  <si>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</si>
  <si>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</si>
  <si>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</si>
  <si>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</si>
  <si>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</si>
  <si>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</si>
  <si>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</si>
  <si>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</si>
  <si>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</si>
  <si>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</si>
  <si>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</si>
  <si>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</si>
  <si>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</si>
  <si>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</si>
  <si>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</si>
  <si>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</si>
  <si>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</si>
  <si>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</si>
  <si>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</si>
  <si>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</si>
  <si>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</si>
  <si>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</si>
  <si>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</si>
  <si>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</si>
  <si>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</si>
  <si>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</si>
  <si>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</si>
  <si>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</si>
  <si>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</si>
  <si>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</si>
  <si>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</si>
  <si>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</si>
  <si>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</si>
  <si>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</si>
  <si>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</si>
  <si>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</si>
  <si>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</si>
  <si>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</si>
  <si>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</si>
  <si>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</si>
  <si>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</si>
  <si>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</si>
  <si>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</si>
  <si>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</si>
  <si>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</si>
  <si>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</si>
  <si>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</si>
  <si>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</si>
  <si>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</si>
  <si>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</si>
  <si>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</si>
  <si>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</si>
  <si>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</si>
  <si>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</si>
  <si>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</si>
  <si>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</si>
  <si>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</si>
  <si>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</si>
  <si>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</si>
  <si>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</si>
  <si>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</si>
  <si>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</si>
  <si>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</si>
  <si>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</si>
  <si>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</si>
  <si>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</si>
  <si>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</si>
  <si>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</si>
  <si>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</si>
  <si>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</si>
  <si>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</si>
  <si>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</si>
  <si>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</si>
  <si>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</si>
  <si>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</si>
  <si>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</si>
  <si>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</si>
  <si>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</si>
  <si>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</si>
  <si>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</si>
  <si>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</si>
  <si>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</si>
  <si>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</si>
  <si>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</si>
  <si>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</si>
  <si>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</si>
  <si>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</si>
  <si>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</si>
  <si>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</si>
  <si>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</si>
  <si>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</si>
  <si>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</si>
  <si>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</si>
  <si>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</si>
  <si>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</si>
  <si>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</si>
  <si>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</si>
  <si>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</si>
  <si>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</si>
  <si>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</si>
  <si>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</si>
  <si>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</si>
  <si>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</si>
  <si>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</si>
  <si>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</si>
  <si>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</si>
  <si>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</si>
  <si>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</si>
  <si>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</si>
  <si>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</si>
  <si>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</si>
  <si>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</si>
  <si>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</si>
  <si>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</si>
  <si>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</si>
  <si>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</si>
  <si>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</si>
  <si>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</si>
  <si>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</si>
  <si>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</si>
  <si>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</si>
  <si>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</si>
  <si>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</si>
  <si>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</si>
  <si>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</si>
  <si>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</si>
  <si>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</si>
  <si>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</si>
  <si>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</si>
  <si>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</si>
  <si>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</si>
  <si>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</si>
  <si>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</si>
  <si>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</si>
  <si>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</si>
  <si>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</si>
  <si>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</si>
  <si>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</si>
  <si>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</si>
  <si>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</si>
  <si>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</si>
  <si>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</si>
  <si>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</si>
  <si>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</si>
  <si>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</si>
  <si>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</si>
  <si>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</si>
  <si>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</si>
  <si>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</si>
  <si>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</si>
  <si>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</si>
  <si>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</si>
  <si>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</si>
  <si>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</si>
  <si>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</si>
  <si>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</si>
  <si>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</si>
  <si>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</si>
  <si>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</si>
  <si>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</si>
  <si>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</si>
  <si>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</si>
  <si>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</si>
  <si>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</si>
  <si>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</si>
  <si>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</si>
  <si>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</si>
  <si>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</si>
  <si>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</si>
  <si>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</si>
  <si>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</si>
  <si>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</si>
  <si>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</si>
  <si>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</si>
  <si>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</si>
  <si>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</si>
  <si>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</si>
  <si>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</si>
  <si>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</si>
  <si>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</si>
  <si>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</si>
  <si>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</si>
  <si>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</si>
  <si>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</si>
  <si>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</si>
  <si>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</si>
  <si>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</si>
  <si>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</si>
  <si>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</si>
  <si>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</si>
  <si>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</si>
  <si>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</si>
  <si>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</si>
  <si>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</si>
  <si>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</si>
  <si>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</si>
  <si>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</si>
  <si>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</si>
  <si>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</si>
  <si>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</si>
  <si>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</si>
  <si>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</si>
  <si>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</si>
  <si>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</si>
  <si>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</si>
  <si>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</si>
  <si>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</si>
  <si>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</si>
  <si>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</si>
  <si>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</si>
  <si>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</si>
  <si>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</si>
  <si>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</si>
  <si>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</si>
  <si>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</si>
  <si>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</si>
  <si>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</si>
  <si>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</si>
  <si>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</si>
  <si>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</si>
  <si>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</si>
  <si>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</si>
  <si>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</si>
  <si>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</si>
  <si>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</si>
  <si>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</si>
  <si>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</si>
  <si>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</si>
  <si>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</si>
  <si>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</si>
  <si>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</si>
  <si>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</si>
  <si>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</si>
  <si>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</si>
  <si>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</si>
  <si>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</si>
  <si>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</si>
  <si>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</si>
  <si>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</si>
  <si>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</si>
  <si>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</si>
  <si>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</si>
  <si>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</si>
  <si>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</si>
  <si>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</si>
  <si>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</si>
  <si>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</si>
  <si>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</si>
  <si>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</si>
  <si>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</si>
  <si>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</si>
  <si>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</si>
  <si>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</si>
  <si>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</si>
  <si>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</si>
  <si>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</si>
  <si>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</si>
  <si>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</si>
  <si>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</si>
  <si>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</si>
  <si>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</si>
  <si>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</si>
  <si>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</si>
  <si>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</si>
  <si>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</si>
  <si>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</si>
  <si>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</si>
  <si>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</si>
  <si>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</si>
  <si>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</si>
  <si>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</si>
  <si>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</si>
  <si>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</si>
  <si>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</si>
  <si>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</si>
  <si>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</si>
  <si>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</si>
  <si>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</si>
  <si>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</si>
  <si>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</si>
  <si>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</si>
  <si>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</si>
  <si>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</si>
  <si>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</si>
  <si>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</si>
  <si>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</si>
  <si>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</si>
  <si>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</si>
  <si>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</si>
  <si>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</si>
  <si>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</si>
  <si>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</si>
  <si>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</si>
  <si>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</si>
  <si>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</si>
  <si>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</si>
  <si>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</si>
  <si>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</si>
  <si>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</si>
  <si>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</si>
  <si>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</si>
  <si>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</si>
  <si>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</si>
  <si>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</si>
  <si>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</si>
  <si>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</si>
  <si>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</si>
  <si>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</si>
  <si>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</si>
  <si>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</si>
  <si>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</si>
  <si>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</si>
  <si>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</si>
  <si>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</si>
  <si>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</si>
  <si>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</si>
  <si>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</si>
  <si>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</si>
  <si>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</si>
  <si>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</si>
  <si>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</si>
  <si>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</si>
  <si>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</si>
  <si>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</si>
  <si>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</si>
  <si>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</si>
  <si>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</si>
  <si>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</si>
  <si>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</si>
  <si>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</si>
  <si>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</si>
  <si>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</si>
  <si>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</si>
  <si>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</si>
  <si>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</si>
  <si>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</si>
  <si>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</si>
  <si>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</si>
  <si>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</si>
  <si>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</si>
  <si>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</si>
  <si>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</si>
  <si>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</si>
  <si>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</si>
  <si>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</si>
  <si>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</si>
  <si>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</si>
  <si>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03298744</t>
  </si>
  <si>
    <t>HR</t>
  </si>
  <si>
    <t>080037012</t>
  </si>
  <si>
    <t>24640993045</t>
  </si>
  <si>
    <t>74780000B0QHXQ0LQw20</t>
  </si>
  <si>
    <t>637</t>
  </si>
  <si>
    <t>CROATIA AIRLINES d.d.</t>
  </si>
  <si>
    <t>ZAGREB</t>
  </si>
  <si>
    <t>BANI 75 b</t>
  </si>
  <si>
    <t>uprava@croatiaairlines.hr</t>
  </si>
  <si>
    <t>www.croatiaairlines.hr</t>
  </si>
  <si>
    <t>DIJANA JANUŠIĆ</t>
  </si>
  <si>
    <t>01/6160049</t>
  </si>
  <si>
    <t>dijana.janusic@croatiaairlines.hr</t>
  </si>
  <si>
    <t>stanje na dan 31.3.2024</t>
  </si>
  <si>
    <t>u razdoblju 1.1.2024 do 31.3.2024</t>
  </si>
  <si>
    <t>AMADEUS CROATIA d.d.</t>
  </si>
  <si>
    <t>OBZOR PUTOVANJA d.o.o</t>
  </si>
  <si>
    <t xml:space="preserve">Zagreb, Božidara Adžije </t>
  </si>
  <si>
    <t>Zagreb, Teslina ulica 5</t>
  </si>
  <si>
    <t>BDO CROATIA d.o.o</t>
  </si>
  <si>
    <t>VEDRANA STIPIĆ</t>
  </si>
  <si>
    <t>Obveznik:  CROATIA AIRLINES GRUPA</t>
  </si>
  <si>
    <t>Obveznik: CROATIA AIRLINES GRUPA</t>
  </si>
  <si>
    <t xml:space="preserve">BILJEŠKE UZ FINANCIJSKE IZVJEŠTAJE - TFI
(koji se sastavljaju za tromjesečna razdoblja)
Naziv izdavatelja:   CROATIA AIRLINES GRUPA
OIB:   24640993045
Izvještajno razdoblje: 1.1.-31.3.2024.
U 2024. godini postoje dobri razlozi za optimizam u vezi s izgledima zrakoplovne industrije jer potražnja putnika pokazuje otpornost u suočavanju s geopolitičkim i gospodarskim neizvjesnostima. IATA projekcije predviđaju potpuni oporavak i dostizanje razine prometa iz 2019. godine, odnosno prije COVID-19 pandemije. 
Sukladno navedenome Croatia Airlines je u 2024. godini nastavio s povećanjem frekvencija i obnavljanjem pojedinih ruta te značajnim širenjem mreže međunarodnih letova iz Zagreba i Splita uvođenjem novih izravnih linija Zagreb – Tirana, Zagreb – Berlin, Zagreb – Stockholm i Split – Istanbul.
U prvom kvartalu 2024. zamjetan je rast ukupne razine prihoda u odnosu na prvi kvartal 2023. godine, a primjetna je i promjena strukture prihoda u smislu rasta putničkih prihoda čiji se udio povećao s 80 posto na 86 posto.
Uz višu ostvarenu razinu prihoda i troškova, na kraju prvog kvartala 2024. godine ostvaren je operativni gubitak u visini od 10,2 milijuna EUR koji s neto rezultatom financiranja daje neto gubitak od 9,9 milijuna EUR što je na razini ostvarenja u prvom kvartalu 2023. godine.
U prvom kvartalu 2024. godine intenzivno su se nastavile aktivnosti vezane za prihvat prva dva nova zrakoplova Airbus A220 u flotu, a sukladno „Post Covid“ strategiji Croatia Airlinesa. Prvi zrakoplov Airbus A220 u flotu nacionalnog zračnog prijevoznika ulazi u lipnju, drugi u studenom 2024. godine, a u 2027. godini Croatia Airlines trebao bi raspolagati s 15 novih zrakoplova Airbus A220.
</t>
  </si>
  <si>
    <t>u razdoblju 01.01.2024 do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</si>
</sst>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B0DBC6E6-66C2-49C2-8A21-91E2A0FF6C7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50" sqref="C50:D5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45382</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453</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10010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v>9</v>
      </c>
      <c r="F36" s="143"/>
      <c r="G36" s="143"/>
      <c r="H36" s="143"/>
      <c r="I36" s="77"/>
      <c r="J36" s="108"/>
    </row>
    <row r="37" spans="1:10" x14ac:dyDescent="0.25">
      <c r="A37" s="165" t="s">
        <v>465</v>
      </c>
      <c r="B37" s="166"/>
      <c r="C37" s="166"/>
      <c r="D37" s="166"/>
      <c r="E37" s="165" t="s">
        <v>467</v>
      </c>
      <c r="F37" s="166"/>
      <c r="G37" s="166"/>
      <c r="H37" s="166"/>
      <c r="I37" s="167"/>
      <c r="J37" s="76">
        <v>48576</v>
      </c>
    </row>
    <row r="38" spans="1:10" x14ac:dyDescent="0.25">
      <c r="A38" s="98"/>
      <c r="B38" s="77"/>
      <c r="C38" s="105"/>
      <c r="D38" s="168"/>
      <c r="E38" s="168"/>
      <c r="F38" s="168"/>
      <c r="G38" s="168"/>
      <c r="H38" s="168"/>
      <c r="I38" s="168"/>
      <c r="J38" s="100"/>
    </row>
    <row r="39" spans="1:10" x14ac:dyDescent="0.25">
      <c r="A39" s="165" t="s">
        <v>466</v>
      </c>
      <c r="B39" s="166"/>
      <c r="C39" s="166"/>
      <c r="D39" s="167"/>
      <c r="E39" s="165" t="s">
        <v>468</v>
      </c>
      <c r="F39" s="166"/>
      <c r="G39" s="166"/>
      <c r="H39" s="166"/>
      <c r="I39" s="167"/>
      <c r="J39" s="44">
        <v>490555</v>
      </c>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469</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470</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A4" sqref="A4:I4"/>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463</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472</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114283038</v>
      </c>
      <c r="I9" s="120">
        <f>I10+I17+I27+I38+I43</f>
        <v>115145163</v>
      </c>
    </row>
    <row r="10" spans="1:9" ht="12.75" customHeight="1" x14ac:dyDescent="0.2">
      <c r="A10" s="183" t="s">
        <v>5</v>
      </c>
      <c r="B10" s="183"/>
      <c r="C10" s="183"/>
      <c r="D10" s="183"/>
      <c r="E10" s="183"/>
      <c r="F10" s="183"/>
      <c r="G10" s="12">
        <v>3</v>
      </c>
      <c r="H10" s="120">
        <f>H11+H12+H13+H14+H15+H16</f>
        <v>776679</v>
      </c>
      <c r="I10" s="120">
        <f>I11+I12+I13+I14+I15+I16</f>
        <v>947032</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285091</v>
      </c>
      <c r="I12" s="18">
        <v>399359</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445881</v>
      </c>
      <c r="I15" s="18">
        <v>518096</v>
      </c>
    </row>
    <row r="16" spans="1:9" ht="12.75" customHeight="1" x14ac:dyDescent="0.2">
      <c r="A16" s="182" t="s">
        <v>11</v>
      </c>
      <c r="B16" s="182"/>
      <c r="C16" s="182"/>
      <c r="D16" s="182"/>
      <c r="E16" s="182"/>
      <c r="F16" s="182"/>
      <c r="G16" s="11">
        <v>9</v>
      </c>
      <c r="H16" s="18">
        <v>45707</v>
      </c>
      <c r="I16" s="18">
        <v>29577</v>
      </c>
    </row>
    <row r="17" spans="1:9" ht="12.75" customHeight="1" x14ac:dyDescent="0.2">
      <c r="A17" s="183" t="s">
        <v>12</v>
      </c>
      <c r="B17" s="183"/>
      <c r="C17" s="183"/>
      <c r="D17" s="183"/>
      <c r="E17" s="183"/>
      <c r="F17" s="183"/>
      <c r="G17" s="12">
        <v>10</v>
      </c>
      <c r="H17" s="120">
        <f>H18+H19+H20+H21+H22+H23+H24+H25+H26</f>
        <v>54915374</v>
      </c>
      <c r="I17" s="120">
        <f>I18+I19+I20+I21+I22+I23+I24+I25+I26</f>
        <v>51922613</v>
      </c>
    </row>
    <row r="18" spans="1:9" ht="12.75" customHeight="1" x14ac:dyDescent="0.2">
      <c r="A18" s="182" t="s">
        <v>13</v>
      </c>
      <c r="B18" s="182"/>
      <c r="C18" s="182"/>
      <c r="D18" s="182"/>
      <c r="E18" s="182"/>
      <c r="F18" s="182"/>
      <c r="G18" s="11">
        <v>11</v>
      </c>
      <c r="H18" s="18">
        <v>2621659</v>
      </c>
      <c r="I18" s="18">
        <v>2621659</v>
      </c>
    </row>
    <row r="19" spans="1:9" ht="12.75" customHeight="1" x14ac:dyDescent="0.2">
      <c r="A19" s="182" t="s">
        <v>14</v>
      </c>
      <c r="B19" s="182"/>
      <c r="C19" s="182"/>
      <c r="D19" s="182"/>
      <c r="E19" s="182"/>
      <c r="F19" s="182"/>
      <c r="G19" s="11">
        <v>12</v>
      </c>
      <c r="H19" s="18">
        <v>3413286</v>
      </c>
      <c r="I19" s="18">
        <v>3073396</v>
      </c>
    </row>
    <row r="20" spans="1:9" ht="12.75" customHeight="1" x14ac:dyDescent="0.2">
      <c r="A20" s="182" t="s">
        <v>15</v>
      </c>
      <c r="B20" s="182"/>
      <c r="C20" s="182"/>
      <c r="D20" s="182"/>
      <c r="E20" s="182"/>
      <c r="F20" s="182"/>
      <c r="G20" s="11">
        <v>13</v>
      </c>
      <c r="H20" s="18">
        <v>6487668</v>
      </c>
      <c r="I20" s="18">
        <v>7372019</v>
      </c>
    </row>
    <row r="21" spans="1:9" ht="12.75" customHeight="1" x14ac:dyDescent="0.2">
      <c r="A21" s="182" t="s">
        <v>16</v>
      </c>
      <c r="B21" s="182"/>
      <c r="C21" s="182"/>
      <c r="D21" s="182"/>
      <c r="E21" s="182"/>
      <c r="F21" s="182"/>
      <c r="G21" s="11">
        <v>14</v>
      </c>
      <c r="H21" s="18">
        <v>37415969</v>
      </c>
      <c r="I21" s="18">
        <v>33955304</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2327074</v>
      </c>
      <c r="I23" s="18">
        <v>2378519</v>
      </c>
    </row>
    <row r="24" spans="1:9" ht="12.75" customHeight="1" x14ac:dyDescent="0.2">
      <c r="A24" s="182" t="s">
        <v>19</v>
      </c>
      <c r="B24" s="182"/>
      <c r="C24" s="182"/>
      <c r="D24" s="182"/>
      <c r="E24" s="182"/>
      <c r="F24" s="182"/>
      <c r="G24" s="11">
        <v>17</v>
      </c>
      <c r="H24" s="18">
        <v>43161</v>
      </c>
      <c r="I24" s="18">
        <v>63885</v>
      </c>
    </row>
    <row r="25" spans="1:9" ht="12.75" customHeight="1" x14ac:dyDescent="0.2">
      <c r="A25" s="182" t="s">
        <v>20</v>
      </c>
      <c r="B25" s="182"/>
      <c r="C25" s="182"/>
      <c r="D25" s="182"/>
      <c r="E25" s="182"/>
      <c r="F25" s="182"/>
      <c r="G25" s="11">
        <v>18</v>
      </c>
      <c r="H25" s="18">
        <v>2606557</v>
      </c>
      <c r="I25" s="18">
        <v>2457831</v>
      </c>
    </row>
    <row r="26" spans="1:9" ht="12.75" customHeight="1" x14ac:dyDescent="0.2">
      <c r="A26" s="182" t="s">
        <v>21</v>
      </c>
      <c r="B26" s="182"/>
      <c r="C26" s="182"/>
      <c r="D26" s="182"/>
      <c r="E26" s="182"/>
      <c r="F26" s="182"/>
      <c r="G26" s="11">
        <v>19</v>
      </c>
      <c r="H26" s="18">
        <v>0</v>
      </c>
      <c r="I26" s="18">
        <v>0</v>
      </c>
    </row>
    <row r="27" spans="1:9" ht="12.75" customHeight="1" x14ac:dyDescent="0.2">
      <c r="A27" s="183" t="s">
        <v>22</v>
      </c>
      <c r="B27" s="183"/>
      <c r="C27" s="183"/>
      <c r="D27" s="183"/>
      <c r="E27" s="183"/>
      <c r="F27" s="183"/>
      <c r="G27" s="12">
        <v>20</v>
      </c>
      <c r="H27" s="120">
        <f>SUM(H28:H37)</f>
        <v>12408328</v>
      </c>
      <c r="I27" s="120">
        <f>SUM(I28:I37)</f>
        <v>12699915</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25000</v>
      </c>
      <c r="I34" s="18">
        <v>25000</v>
      </c>
    </row>
    <row r="35" spans="1:9" ht="12.75" customHeight="1" x14ac:dyDescent="0.2">
      <c r="A35" s="182" t="s">
        <v>30</v>
      </c>
      <c r="B35" s="182"/>
      <c r="C35" s="182"/>
      <c r="D35" s="182"/>
      <c r="E35" s="182"/>
      <c r="F35" s="182"/>
      <c r="G35" s="11">
        <v>28</v>
      </c>
      <c r="H35" s="18">
        <v>12383328</v>
      </c>
      <c r="I35" s="18">
        <v>12674915</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46182657</v>
      </c>
      <c r="I38" s="120">
        <f>I39+I40+I41+I42</f>
        <v>49575603</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46182657</v>
      </c>
      <c r="I42" s="18">
        <v>49575603</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111982102</v>
      </c>
      <c r="I44" s="120">
        <f>I45+I53+I60+I70</f>
        <v>119887839</v>
      </c>
    </row>
    <row r="45" spans="1:9" ht="12.75" customHeight="1" x14ac:dyDescent="0.2">
      <c r="A45" s="183" t="s">
        <v>39</v>
      </c>
      <c r="B45" s="183"/>
      <c r="C45" s="183"/>
      <c r="D45" s="183"/>
      <c r="E45" s="183"/>
      <c r="F45" s="183"/>
      <c r="G45" s="12">
        <v>38</v>
      </c>
      <c r="H45" s="120">
        <f>SUM(H46:H52)</f>
        <v>9891526</v>
      </c>
      <c r="I45" s="120">
        <f>SUM(I46:I52)</f>
        <v>10213797</v>
      </c>
    </row>
    <row r="46" spans="1:9" ht="12.75" customHeight="1" x14ac:dyDescent="0.2">
      <c r="A46" s="182" t="s">
        <v>40</v>
      </c>
      <c r="B46" s="182"/>
      <c r="C46" s="182"/>
      <c r="D46" s="182"/>
      <c r="E46" s="182"/>
      <c r="F46" s="182"/>
      <c r="G46" s="11">
        <v>39</v>
      </c>
      <c r="H46" s="18">
        <v>9602050</v>
      </c>
      <c r="I46" s="18">
        <v>10213797</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289476</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18531327</v>
      </c>
      <c r="I53" s="120">
        <f>SUM(I54:I59)</f>
        <v>28800193</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15374234</v>
      </c>
      <c r="I56" s="18">
        <f>25484258+340</f>
        <v>25484598</v>
      </c>
    </row>
    <row r="57" spans="1:9" ht="12.75" customHeight="1" x14ac:dyDescent="0.2">
      <c r="A57" s="182" t="s">
        <v>51</v>
      </c>
      <c r="B57" s="182"/>
      <c r="C57" s="182"/>
      <c r="D57" s="182"/>
      <c r="E57" s="182"/>
      <c r="F57" s="182"/>
      <c r="G57" s="11">
        <v>50</v>
      </c>
      <c r="H57" s="18">
        <v>12491</v>
      </c>
      <c r="I57" s="18">
        <v>33604</v>
      </c>
    </row>
    <row r="58" spans="1:9" ht="12.75" customHeight="1" x14ac:dyDescent="0.2">
      <c r="A58" s="182" t="s">
        <v>52</v>
      </c>
      <c r="B58" s="182"/>
      <c r="C58" s="182"/>
      <c r="D58" s="182"/>
      <c r="E58" s="182"/>
      <c r="F58" s="182"/>
      <c r="G58" s="11">
        <v>51</v>
      </c>
      <c r="H58" s="18">
        <v>1618451</v>
      </c>
      <c r="I58" s="18">
        <v>1597803</v>
      </c>
    </row>
    <row r="59" spans="1:9" ht="12.75" customHeight="1" x14ac:dyDescent="0.2">
      <c r="A59" s="182" t="s">
        <v>53</v>
      </c>
      <c r="B59" s="182"/>
      <c r="C59" s="182"/>
      <c r="D59" s="182"/>
      <c r="E59" s="182"/>
      <c r="F59" s="182"/>
      <c r="G59" s="11">
        <v>52</v>
      </c>
      <c r="H59" s="18">
        <v>1526151</v>
      </c>
      <c r="I59" s="18">
        <v>1684188</v>
      </c>
    </row>
    <row r="60" spans="1:9" ht="12.75" customHeight="1" x14ac:dyDescent="0.2">
      <c r="A60" s="183" t="s">
        <v>54</v>
      </c>
      <c r="B60" s="183"/>
      <c r="C60" s="183"/>
      <c r="D60" s="183"/>
      <c r="E60" s="183"/>
      <c r="F60" s="183"/>
      <c r="G60" s="12">
        <v>53</v>
      </c>
      <c r="H60" s="120">
        <f>SUM(H61:H69)</f>
        <v>3646171</v>
      </c>
      <c r="I60" s="120">
        <f>SUM(I61:I69)</f>
        <v>4713388</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25</v>
      </c>
      <c r="I67" s="18">
        <v>25</v>
      </c>
    </row>
    <row r="68" spans="1:9" ht="12.75" customHeight="1" x14ac:dyDescent="0.2">
      <c r="A68" s="182" t="s">
        <v>30</v>
      </c>
      <c r="B68" s="182"/>
      <c r="C68" s="182"/>
      <c r="D68" s="182"/>
      <c r="E68" s="182"/>
      <c r="F68" s="182"/>
      <c r="G68" s="11">
        <v>61</v>
      </c>
      <c r="H68" s="18">
        <v>3646146</v>
      </c>
      <c r="I68" s="18">
        <v>4713363</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79913078</v>
      </c>
      <c r="I70" s="18">
        <v>76160461</v>
      </c>
    </row>
    <row r="71" spans="1:9" ht="12.75" customHeight="1" x14ac:dyDescent="0.2">
      <c r="A71" s="198" t="s">
        <v>58</v>
      </c>
      <c r="B71" s="198"/>
      <c r="C71" s="198"/>
      <c r="D71" s="198"/>
      <c r="E71" s="198"/>
      <c r="F71" s="198"/>
      <c r="G71" s="11">
        <v>64</v>
      </c>
      <c r="H71" s="18">
        <v>1906709</v>
      </c>
      <c r="I71" s="18">
        <v>7061495</v>
      </c>
    </row>
    <row r="72" spans="1:9" ht="12.75" customHeight="1" x14ac:dyDescent="0.2">
      <c r="A72" s="184" t="s">
        <v>304</v>
      </c>
      <c r="B72" s="184"/>
      <c r="C72" s="184"/>
      <c r="D72" s="184"/>
      <c r="E72" s="184"/>
      <c r="F72" s="184"/>
      <c r="G72" s="12">
        <v>65</v>
      </c>
      <c r="H72" s="120">
        <f>H8+H9+H44+H71</f>
        <v>228171849</v>
      </c>
      <c r="I72" s="120">
        <f>I8+I9+I44+I71</f>
        <v>242094497</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15170130</v>
      </c>
      <c r="I75" s="121">
        <f>I76+I77+I78+I84+I85+I91+I94+I97</f>
        <v>5326525</v>
      </c>
    </row>
    <row r="76" spans="1:9" ht="12.75" customHeight="1" x14ac:dyDescent="0.2">
      <c r="A76" s="182" t="s">
        <v>61</v>
      </c>
      <c r="B76" s="182"/>
      <c r="C76" s="182"/>
      <c r="D76" s="182"/>
      <c r="E76" s="182"/>
      <c r="F76" s="182"/>
      <c r="G76" s="11">
        <v>68</v>
      </c>
      <c r="H76" s="18">
        <v>92387953</v>
      </c>
      <c r="I76" s="18">
        <f>H76</f>
        <v>92387953</v>
      </c>
    </row>
    <row r="77" spans="1:9" ht="12.75" customHeight="1" x14ac:dyDescent="0.2">
      <c r="A77" s="182" t="s">
        <v>62</v>
      </c>
      <c r="B77" s="182"/>
      <c r="C77" s="182"/>
      <c r="D77" s="182"/>
      <c r="E77" s="182"/>
      <c r="F77" s="182"/>
      <c r="G77" s="11">
        <v>69</v>
      </c>
      <c r="H77" s="18">
        <v>0</v>
      </c>
      <c r="I77" s="18">
        <v>0</v>
      </c>
    </row>
    <row r="78" spans="1:9" ht="12.75" customHeight="1" x14ac:dyDescent="0.2">
      <c r="A78" s="183" t="s">
        <v>63</v>
      </c>
      <c r="B78" s="183"/>
      <c r="C78" s="183"/>
      <c r="D78" s="183"/>
      <c r="E78" s="183"/>
      <c r="F78" s="183"/>
      <c r="G78" s="12">
        <v>70</v>
      </c>
      <c r="H78" s="121">
        <f>SUM(H79:H83)</f>
        <v>412157</v>
      </c>
      <c r="I78" s="121">
        <f>SUM(I79:I83)</f>
        <v>594085</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0</v>
      </c>
      <c r="I80" s="18">
        <v>0</v>
      </c>
    </row>
    <row r="81" spans="1:9" ht="12.75" customHeight="1" x14ac:dyDescent="0.2">
      <c r="A81" s="182" t="s">
        <v>66</v>
      </c>
      <c r="B81" s="182"/>
      <c r="C81" s="182"/>
      <c r="D81" s="182"/>
      <c r="E81" s="182"/>
      <c r="F81" s="182"/>
      <c r="G81" s="11">
        <v>73</v>
      </c>
      <c r="H81" s="18">
        <v>0</v>
      </c>
      <c r="I81" s="18">
        <v>0</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412157</v>
      </c>
      <c r="I83" s="18">
        <f>553153+40932</f>
        <v>594085</v>
      </c>
    </row>
    <row r="84" spans="1:9" ht="12.75" customHeight="1" x14ac:dyDescent="0.2">
      <c r="A84" s="199" t="s">
        <v>69</v>
      </c>
      <c r="B84" s="199"/>
      <c r="C84" s="199"/>
      <c r="D84" s="199"/>
      <c r="E84" s="199"/>
      <c r="F84" s="199"/>
      <c r="G84" s="46">
        <v>76</v>
      </c>
      <c r="H84" s="47">
        <v>412184</v>
      </c>
      <c r="I84" s="47">
        <v>412184</v>
      </c>
    </row>
    <row r="85" spans="1:9" ht="12.75" customHeight="1" x14ac:dyDescent="0.2">
      <c r="A85" s="183" t="s">
        <v>446</v>
      </c>
      <c r="B85" s="183"/>
      <c r="C85" s="183"/>
      <c r="D85" s="183"/>
      <c r="E85" s="183"/>
      <c r="F85" s="183"/>
      <c r="G85" s="12">
        <v>77</v>
      </c>
      <c r="H85" s="120">
        <f>H86+H87+H88+H89+H90</f>
        <v>63476</v>
      </c>
      <c r="I85" s="120">
        <f>I86+I87+I88+I89+I90</f>
        <v>0</v>
      </c>
    </row>
    <row r="86" spans="1:9" ht="25.5" customHeight="1" x14ac:dyDescent="0.2">
      <c r="A86" s="182" t="s">
        <v>447</v>
      </c>
      <c r="B86" s="182"/>
      <c r="C86" s="182"/>
      <c r="D86" s="182"/>
      <c r="E86" s="182"/>
      <c r="F86" s="182"/>
      <c r="G86" s="11">
        <v>78</v>
      </c>
      <c r="H86" s="18">
        <v>63476</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-80467432</v>
      </c>
      <c r="I91" s="120">
        <f>I92-I93</f>
        <v>-78286665</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80467432</v>
      </c>
      <c r="I93" s="18">
        <f>78102180+184485</f>
        <v>78286665</v>
      </c>
    </row>
    <row r="94" spans="1:9" ht="12.75" customHeight="1" x14ac:dyDescent="0.2">
      <c r="A94" s="183" t="s">
        <v>353</v>
      </c>
      <c r="B94" s="183"/>
      <c r="C94" s="183"/>
      <c r="D94" s="183"/>
      <c r="E94" s="183"/>
      <c r="F94" s="183"/>
      <c r="G94" s="12">
        <v>86</v>
      </c>
      <c r="H94" s="120">
        <f>H95-H96</f>
        <v>2361792</v>
      </c>
      <c r="I94" s="120">
        <f>I95-I96</f>
        <v>-9781032</v>
      </c>
    </row>
    <row r="95" spans="1:9" ht="12.75" customHeight="1" x14ac:dyDescent="0.2">
      <c r="A95" s="182" t="s">
        <v>74</v>
      </c>
      <c r="B95" s="182"/>
      <c r="C95" s="182"/>
      <c r="D95" s="182"/>
      <c r="E95" s="182"/>
      <c r="F95" s="182"/>
      <c r="G95" s="11">
        <v>87</v>
      </c>
      <c r="H95" s="18">
        <v>2361792</v>
      </c>
      <c r="I95" s="18">
        <v>0</v>
      </c>
    </row>
    <row r="96" spans="1:9" ht="12.75" customHeight="1" x14ac:dyDescent="0.2">
      <c r="A96" s="182" t="s">
        <v>75</v>
      </c>
      <c r="B96" s="182"/>
      <c r="C96" s="182"/>
      <c r="D96" s="182"/>
      <c r="E96" s="182"/>
      <c r="F96" s="182"/>
      <c r="G96" s="11">
        <v>88</v>
      </c>
      <c r="H96" s="18">
        <v>0</v>
      </c>
      <c r="I96" s="18">
        <v>9781032</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43663097</v>
      </c>
      <c r="I98" s="120">
        <f>SUM(I99:I104)</f>
        <v>46831759</v>
      </c>
    </row>
    <row r="99" spans="1:9" ht="12.75" customHeight="1" x14ac:dyDescent="0.2">
      <c r="A99" s="182" t="s">
        <v>77</v>
      </c>
      <c r="B99" s="182"/>
      <c r="C99" s="182"/>
      <c r="D99" s="182"/>
      <c r="E99" s="182"/>
      <c r="F99" s="182"/>
      <c r="G99" s="11">
        <v>91</v>
      </c>
      <c r="H99" s="18">
        <v>278887</v>
      </c>
      <c r="I99" s="18">
        <v>278887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1423723</v>
      </c>
      <c r="I101" s="18">
        <v>1420825</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41960487</v>
      </c>
      <c r="I104" s="18">
        <v>45132047</v>
      </c>
    </row>
    <row r="105" spans="1:9" ht="12.75" customHeight="1" x14ac:dyDescent="0.2">
      <c r="A105" s="184" t="s">
        <v>356</v>
      </c>
      <c r="B105" s="184"/>
      <c r="C105" s="184"/>
      <c r="D105" s="184"/>
      <c r="E105" s="184"/>
      <c r="F105" s="184"/>
      <c r="G105" s="12">
        <v>97</v>
      </c>
      <c r="H105" s="120">
        <f>SUM(H106:H116)</f>
        <v>107537262</v>
      </c>
      <c r="I105" s="120">
        <f>SUM(I106:I116)</f>
        <v>103676858</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81653738</v>
      </c>
      <c r="I107" s="18">
        <v>81653738</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7253</v>
      </c>
      <c r="I110" s="18">
        <v>7253</v>
      </c>
    </row>
    <row r="111" spans="1:9" ht="12.75" customHeight="1" x14ac:dyDescent="0.2">
      <c r="A111" s="182" t="s">
        <v>88</v>
      </c>
      <c r="B111" s="182"/>
      <c r="C111" s="182"/>
      <c r="D111" s="182"/>
      <c r="E111" s="182"/>
      <c r="F111" s="182"/>
      <c r="G111" s="11">
        <v>103</v>
      </c>
      <c r="H111" s="18">
        <v>24980468</v>
      </c>
      <c r="I111" s="18">
        <v>21140600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895803</v>
      </c>
      <c r="I115" s="18">
        <v>875267</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57929144</v>
      </c>
      <c r="I117" s="120">
        <f>SUM(I118:I131)</f>
        <v>81924036</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1714769</v>
      </c>
      <c r="I122" s="18">
        <v>2413908</v>
      </c>
    </row>
    <row r="123" spans="1:9" ht="12.75" customHeight="1" x14ac:dyDescent="0.2">
      <c r="A123" s="182" t="s">
        <v>88</v>
      </c>
      <c r="B123" s="182"/>
      <c r="C123" s="182"/>
      <c r="D123" s="182"/>
      <c r="E123" s="182"/>
      <c r="F123" s="182"/>
      <c r="G123" s="11">
        <v>115</v>
      </c>
      <c r="H123" s="18">
        <v>11915190</v>
      </c>
      <c r="I123" s="18">
        <v>12972510</v>
      </c>
    </row>
    <row r="124" spans="1:9" ht="12.75" customHeight="1" x14ac:dyDescent="0.2">
      <c r="A124" s="182" t="s">
        <v>89</v>
      </c>
      <c r="B124" s="182"/>
      <c r="C124" s="182"/>
      <c r="D124" s="182"/>
      <c r="E124" s="182"/>
      <c r="F124" s="182"/>
      <c r="G124" s="11">
        <v>116</v>
      </c>
      <c r="H124" s="18">
        <v>301001</v>
      </c>
      <c r="I124" s="18">
        <v>551091</v>
      </c>
    </row>
    <row r="125" spans="1:9" ht="12.75" customHeight="1" x14ac:dyDescent="0.2">
      <c r="A125" s="182" t="s">
        <v>90</v>
      </c>
      <c r="B125" s="182"/>
      <c r="C125" s="182"/>
      <c r="D125" s="182"/>
      <c r="E125" s="182"/>
      <c r="F125" s="182"/>
      <c r="G125" s="11">
        <v>117</v>
      </c>
      <c r="H125" s="18">
        <v>17669858</v>
      </c>
      <c r="I125" s="18">
        <v>19718871</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1751461</v>
      </c>
      <c r="I127" s="18">
        <v>1920949</v>
      </c>
    </row>
    <row r="128" spans="1:9" x14ac:dyDescent="0.2">
      <c r="A128" s="182" t="s">
        <v>95</v>
      </c>
      <c r="B128" s="182"/>
      <c r="C128" s="182"/>
      <c r="D128" s="182"/>
      <c r="E128" s="182"/>
      <c r="F128" s="182"/>
      <c r="G128" s="11">
        <v>120</v>
      </c>
      <c r="H128" s="18">
        <v>1556997</v>
      </c>
      <c r="I128" s="18">
        <v>1795970</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23019868</v>
      </c>
      <c r="I131" s="18">
        <v>42550737</v>
      </c>
    </row>
    <row r="132" spans="1:9" ht="22.15" customHeight="1" x14ac:dyDescent="0.2">
      <c r="A132" s="198" t="s">
        <v>99</v>
      </c>
      <c r="B132" s="198"/>
      <c r="C132" s="198"/>
      <c r="D132" s="198"/>
      <c r="E132" s="198"/>
      <c r="F132" s="198"/>
      <c r="G132" s="11">
        <v>124</v>
      </c>
      <c r="H132" s="18">
        <v>3872216</v>
      </c>
      <c r="I132" s="18">
        <f>4330970+4349</f>
        <v>4335319</v>
      </c>
    </row>
    <row r="133" spans="1:9" ht="12.75" customHeight="1" x14ac:dyDescent="0.2">
      <c r="A133" s="184" t="s">
        <v>358</v>
      </c>
      <c r="B133" s="184"/>
      <c r="C133" s="184"/>
      <c r="D133" s="184"/>
      <c r="E133" s="184"/>
      <c r="F133" s="184"/>
      <c r="G133" s="12">
        <v>125</v>
      </c>
      <c r="H133" s="120">
        <f>H75+H98+H105+H117+H132</f>
        <v>228171849</v>
      </c>
      <c r="I133" s="120">
        <f>I75+I98+I105+I117+I132</f>
        <v>242094497</v>
      </c>
    </row>
    <row r="134" spans="1:9" x14ac:dyDescent="0.2">
      <c r="A134" s="198" t="s">
        <v>100</v>
      </c>
      <c r="B134" s="198"/>
      <c r="C134" s="198"/>
      <c r="D134" s="198"/>
      <c r="E134" s="198"/>
      <c r="F134" s="19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J120" sqref="J120"/>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464</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471</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40485514</v>
      </c>
      <c r="I8" s="52">
        <f>SUM(I9:I13)</f>
        <v>40485514</v>
      </c>
      <c r="J8" s="52">
        <f>SUM(J9:J13)</f>
        <v>44690889</v>
      </c>
      <c r="K8" s="52">
        <f>SUM(K9:K13)</f>
        <v>44690889</v>
      </c>
    </row>
    <row r="9" spans="1:11" ht="12.75" customHeight="1" x14ac:dyDescent="0.2">
      <c r="A9" s="182" t="s">
        <v>115</v>
      </c>
      <c r="B9" s="182"/>
      <c r="C9" s="182"/>
      <c r="D9" s="182"/>
      <c r="E9" s="182"/>
      <c r="F9" s="182"/>
      <c r="G9" s="11">
        <v>2</v>
      </c>
      <c r="H9" s="53">
        <v>1060</v>
      </c>
      <c r="I9" s="53">
        <f>+H9</f>
        <v>1060</v>
      </c>
      <c r="J9" s="53">
        <v>0</v>
      </c>
      <c r="K9" s="53">
        <f>+J9</f>
        <v>0</v>
      </c>
    </row>
    <row r="10" spans="1:11" ht="12.75" customHeight="1" x14ac:dyDescent="0.2">
      <c r="A10" s="182" t="s">
        <v>116</v>
      </c>
      <c r="B10" s="182"/>
      <c r="C10" s="182"/>
      <c r="D10" s="182"/>
      <c r="E10" s="182"/>
      <c r="F10" s="182"/>
      <c r="G10" s="11">
        <v>3</v>
      </c>
      <c r="H10" s="53">
        <v>35964564</v>
      </c>
      <c r="I10" s="53">
        <f t="shared" ref="I10:I13" si="0">+H10</f>
        <v>35964564</v>
      </c>
      <c r="J10" s="53">
        <v>40405180</v>
      </c>
      <c r="K10" s="53">
        <f t="shared" ref="K10:K13" si="1">+J10</f>
        <v>40405180</v>
      </c>
    </row>
    <row r="11" spans="1:11" ht="12.75" customHeight="1" x14ac:dyDescent="0.2">
      <c r="A11" s="182" t="s">
        <v>117</v>
      </c>
      <c r="B11" s="182"/>
      <c r="C11" s="182"/>
      <c r="D11" s="182"/>
      <c r="E11" s="182"/>
      <c r="F11" s="182"/>
      <c r="G11" s="11">
        <v>4</v>
      </c>
      <c r="H11" s="53">
        <v>0</v>
      </c>
      <c r="I11" s="53">
        <f t="shared" si="0"/>
        <v>0</v>
      </c>
      <c r="J11" s="53">
        <v>0</v>
      </c>
      <c r="K11" s="53">
        <f t="shared" si="1"/>
        <v>0</v>
      </c>
    </row>
    <row r="12" spans="1:11" ht="12.75" customHeight="1" x14ac:dyDescent="0.2">
      <c r="A12" s="182" t="s">
        <v>118</v>
      </c>
      <c r="B12" s="182"/>
      <c r="C12" s="182"/>
      <c r="D12" s="182"/>
      <c r="E12" s="182"/>
      <c r="F12" s="182"/>
      <c r="G12" s="11">
        <v>5</v>
      </c>
      <c r="H12" s="53">
        <v>0</v>
      </c>
      <c r="I12" s="53">
        <f t="shared" si="0"/>
        <v>0</v>
      </c>
      <c r="J12" s="53">
        <v>0</v>
      </c>
      <c r="K12" s="53">
        <f t="shared" si="1"/>
        <v>0</v>
      </c>
    </row>
    <row r="13" spans="1:11" ht="12.75" customHeight="1" x14ac:dyDescent="0.2">
      <c r="A13" s="182" t="s">
        <v>119</v>
      </c>
      <c r="B13" s="182"/>
      <c r="C13" s="182"/>
      <c r="D13" s="182"/>
      <c r="E13" s="182"/>
      <c r="F13" s="182"/>
      <c r="G13" s="11">
        <v>6</v>
      </c>
      <c r="H13" s="53">
        <v>4519890</v>
      </c>
      <c r="I13" s="53">
        <f t="shared" si="0"/>
        <v>4519890</v>
      </c>
      <c r="J13" s="53">
        <v>4285709</v>
      </c>
      <c r="K13" s="53">
        <f t="shared" si="1"/>
        <v>4285709</v>
      </c>
    </row>
    <row r="14" spans="1:11" ht="12.75" customHeight="1" x14ac:dyDescent="0.2">
      <c r="A14" s="216" t="s">
        <v>360</v>
      </c>
      <c r="B14" s="216"/>
      <c r="C14" s="216"/>
      <c r="D14" s="216"/>
      <c r="E14" s="216"/>
      <c r="F14" s="216"/>
      <c r="G14" s="12">
        <v>7</v>
      </c>
      <c r="H14" s="52">
        <f>H15+H16+H20+H24+H25+H26+H29+H36</f>
        <v>49714618</v>
      </c>
      <c r="I14" s="52">
        <f>I15+I16+I20+I24+I25+I26+I29+I36</f>
        <v>49714618</v>
      </c>
      <c r="J14" s="52">
        <f>J15+J16+J20+J24+J25+J26+J29+J36</f>
        <v>54691249</v>
      </c>
      <c r="K14" s="52">
        <f>K15+K16+K20+K24+K25+K26+K29+K36</f>
        <v>54691249</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33669978</v>
      </c>
      <c r="I16" s="52">
        <f>SUM(I17:I19)</f>
        <v>33669978</v>
      </c>
      <c r="J16" s="52">
        <f>SUM(J17:J19)</f>
        <v>37529663</v>
      </c>
      <c r="K16" s="52">
        <f>SUM(K17:K19)</f>
        <v>37529663</v>
      </c>
    </row>
    <row r="17" spans="1:11" ht="12.75" customHeight="1" x14ac:dyDescent="0.2">
      <c r="A17" s="217" t="s">
        <v>120</v>
      </c>
      <c r="B17" s="217"/>
      <c r="C17" s="217"/>
      <c r="D17" s="217"/>
      <c r="E17" s="217"/>
      <c r="F17" s="217"/>
      <c r="G17" s="11">
        <v>10</v>
      </c>
      <c r="H17" s="53">
        <v>10581494</v>
      </c>
      <c r="I17" s="53">
        <f>+H17</f>
        <v>10581494</v>
      </c>
      <c r="J17" s="53">
        <v>10757584</v>
      </c>
      <c r="K17" s="53">
        <f>+J17</f>
        <v>10757584</v>
      </c>
    </row>
    <row r="18" spans="1:11" ht="12.75" customHeight="1" x14ac:dyDescent="0.2">
      <c r="A18" s="217" t="s">
        <v>121</v>
      </c>
      <c r="B18" s="217"/>
      <c r="C18" s="217"/>
      <c r="D18" s="217"/>
      <c r="E18" s="217"/>
      <c r="F18" s="217"/>
      <c r="G18" s="11">
        <v>11</v>
      </c>
      <c r="H18" s="53">
        <v>0</v>
      </c>
      <c r="I18" s="53">
        <v>0</v>
      </c>
      <c r="J18" s="53">
        <v>0</v>
      </c>
      <c r="K18" s="53">
        <v>0</v>
      </c>
    </row>
    <row r="19" spans="1:11" ht="12.75" customHeight="1" x14ac:dyDescent="0.2">
      <c r="A19" s="217" t="s">
        <v>122</v>
      </c>
      <c r="B19" s="217"/>
      <c r="C19" s="217"/>
      <c r="D19" s="217"/>
      <c r="E19" s="217"/>
      <c r="F19" s="217"/>
      <c r="G19" s="11">
        <v>12</v>
      </c>
      <c r="H19" s="53">
        <v>23088484</v>
      </c>
      <c r="I19" s="53">
        <f>+H19</f>
        <v>23088484</v>
      </c>
      <c r="J19" s="53">
        <v>26772079</v>
      </c>
      <c r="K19" s="53">
        <f>+J19</f>
        <v>26772079</v>
      </c>
    </row>
    <row r="20" spans="1:11" ht="12.75" customHeight="1" x14ac:dyDescent="0.2">
      <c r="A20" s="183" t="s">
        <v>441</v>
      </c>
      <c r="B20" s="183"/>
      <c r="C20" s="183"/>
      <c r="D20" s="183"/>
      <c r="E20" s="183"/>
      <c r="F20" s="183"/>
      <c r="G20" s="12">
        <v>13</v>
      </c>
      <c r="H20" s="52">
        <f>SUM(H21:H23)</f>
        <v>7975107</v>
      </c>
      <c r="I20" s="52">
        <f>SUM(I21:I23)</f>
        <v>7975107</v>
      </c>
      <c r="J20" s="52">
        <f>SUM(J21:J23)</f>
        <v>9403305</v>
      </c>
      <c r="K20" s="52">
        <f>SUM(K21:K23)</f>
        <v>9403305</v>
      </c>
    </row>
    <row r="21" spans="1:11" ht="12.75" customHeight="1" x14ac:dyDescent="0.2">
      <c r="A21" s="217" t="s">
        <v>105</v>
      </c>
      <c r="B21" s="217"/>
      <c r="C21" s="217"/>
      <c r="D21" s="217"/>
      <c r="E21" s="217"/>
      <c r="F21" s="217"/>
      <c r="G21" s="11">
        <v>14</v>
      </c>
      <c r="H21" s="53">
        <v>4569833</v>
      </c>
      <c r="I21" s="53">
        <f>+H21</f>
        <v>4569833</v>
      </c>
      <c r="J21" s="53">
        <v>5281931</v>
      </c>
      <c r="K21" s="53">
        <f>+J21</f>
        <v>5281931</v>
      </c>
    </row>
    <row r="22" spans="1:11" ht="12.75" customHeight="1" x14ac:dyDescent="0.2">
      <c r="A22" s="217" t="s">
        <v>106</v>
      </c>
      <c r="B22" s="217"/>
      <c r="C22" s="217"/>
      <c r="D22" s="217"/>
      <c r="E22" s="217"/>
      <c r="F22" s="217"/>
      <c r="G22" s="11">
        <v>15</v>
      </c>
      <c r="H22" s="53">
        <v>1996358</v>
      </c>
      <c r="I22" s="53">
        <f t="shared" ref="I22:I25" si="2">+H22</f>
        <v>1996358</v>
      </c>
      <c r="J22" s="53">
        <v>2411928</v>
      </c>
      <c r="K22" s="53">
        <f t="shared" ref="K22:K25" si="3">+J22</f>
        <v>2411928</v>
      </c>
    </row>
    <row r="23" spans="1:11" ht="12.75" customHeight="1" x14ac:dyDescent="0.2">
      <c r="A23" s="217" t="s">
        <v>107</v>
      </c>
      <c r="B23" s="217"/>
      <c r="C23" s="217"/>
      <c r="D23" s="217"/>
      <c r="E23" s="217"/>
      <c r="F23" s="217"/>
      <c r="G23" s="11">
        <v>16</v>
      </c>
      <c r="H23" s="53">
        <v>1408916</v>
      </c>
      <c r="I23" s="53">
        <f t="shared" si="2"/>
        <v>1408916</v>
      </c>
      <c r="J23" s="53">
        <v>1709446</v>
      </c>
      <c r="K23" s="53">
        <f t="shared" si="3"/>
        <v>1709446</v>
      </c>
    </row>
    <row r="24" spans="1:11" ht="12.75" customHeight="1" x14ac:dyDescent="0.2">
      <c r="A24" s="182" t="s">
        <v>108</v>
      </c>
      <c r="B24" s="182"/>
      <c r="C24" s="182"/>
      <c r="D24" s="182"/>
      <c r="E24" s="182"/>
      <c r="F24" s="182"/>
      <c r="G24" s="11">
        <v>17</v>
      </c>
      <c r="H24" s="53">
        <v>4817314</v>
      </c>
      <c r="I24" s="53">
        <f t="shared" si="2"/>
        <v>4817314</v>
      </c>
      <c r="J24" s="53">
        <v>4696705</v>
      </c>
      <c r="K24" s="53">
        <f t="shared" si="3"/>
        <v>4696705</v>
      </c>
    </row>
    <row r="25" spans="1:11" ht="12.75" customHeight="1" x14ac:dyDescent="0.2">
      <c r="A25" s="182" t="s">
        <v>109</v>
      </c>
      <c r="B25" s="182"/>
      <c r="C25" s="182"/>
      <c r="D25" s="182"/>
      <c r="E25" s="182"/>
      <c r="F25" s="182"/>
      <c r="G25" s="11">
        <v>18</v>
      </c>
      <c r="H25" s="53">
        <v>2261290</v>
      </c>
      <c r="I25" s="53">
        <f t="shared" si="2"/>
        <v>2261290</v>
      </c>
      <c r="J25" s="53">
        <v>2894119</v>
      </c>
      <c r="K25" s="53">
        <f t="shared" si="3"/>
        <v>2894119</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990929</v>
      </c>
      <c r="I36" s="53">
        <f>+H36</f>
        <v>990929</v>
      </c>
      <c r="J36" s="53">
        <v>167457</v>
      </c>
      <c r="K36" s="53">
        <f>+J36</f>
        <v>167457</v>
      </c>
    </row>
    <row r="37" spans="1:11" ht="12.75" customHeight="1" x14ac:dyDescent="0.2">
      <c r="A37" s="216" t="s">
        <v>361</v>
      </c>
      <c r="B37" s="216"/>
      <c r="C37" s="216"/>
      <c r="D37" s="216"/>
      <c r="E37" s="216"/>
      <c r="F37" s="216"/>
      <c r="G37" s="12">
        <v>30</v>
      </c>
      <c r="H37" s="52">
        <f>SUM(H38:H47)</f>
        <v>3857690</v>
      </c>
      <c r="I37" s="52">
        <f>SUM(I38:I47)</f>
        <v>3857690</v>
      </c>
      <c r="J37" s="52">
        <f>SUM(J38:J47)</f>
        <v>4131890</v>
      </c>
      <c r="K37" s="52">
        <f>SUM(K38:K47)</f>
        <v>4131890</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f>+J41</f>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148817</v>
      </c>
      <c r="I44" s="53">
        <f>+H44</f>
        <v>148817</v>
      </c>
      <c r="J44" s="53">
        <v>648964</v>
      </c>
      <c r="K44" s="53">
        <f>+J44</f>
        <v>648964</v>
      </c>
    </row>
    <row r="45" spans="1:11" ht="12.75" customHeight="1" x14ac:dyDescent="0.2">
      <c r="A45" s="182" t="s">
        <v>138</v>
      </c>
      <c r="B45" s="182"/>
      <c r="C45" s="182"/>
      <c r="D45" s="182"/>
      <c r="E45" s="182"/>
      <c r="F45" s="182"/>
      <c r="G45" s="11">
        <v>38</v>
      </c>
      <c r="H45" s="53">
        <v>3708873</v>
      </c>
      <c r="I45" s="53">
        <f>+H45</f>
        <v>3708873</v>
      </c>
      <c r="J45" s="53">
        <v>3482926</v>
      </c>
      <c r="K45" s="53">
        <f>+J45</f>
        <v>3482926</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4512200</v>
      </c>
      <c r="I48" s="52">
        <f>SUM(I49:I55)</f>
        <v>4512200</v>
      </c>
      <c r="J48" s="52">
        <f>SUM(J49:J55)</f>
        <v>3912562</v>
      </c>
      <c r="K48" s="52">
        <f>SUM(K49:K55)</f>
        <v>3912562</v>
      </c>
    </row>
    <row r="49" spans="1:11" ht="25.15" customHeight="1" x14ac:dyDescent="0.2">
      <c r="A49" s="182" t="s">
        <v>141</v>
      </c>
      <c r="B49" s="182"/>
      <c r="C49" s="182"/>
      <c r="D49" s="182"/>
      <c r="E49" s="182"/>
      <c r="F49" s="182"/>
      <c r="G49" s="11">
        <v>42</v>
      </c>
      <c r="H49" s="53">
        <v>285595</v>
      </c>
      <c r="I49" s="53">
        <f>+H49</f>
        <v>285595</v>
      </c>
      <c r="J49" s="53">
        <v>385987</v>
      </c>
      <c r="K49" s="53">
        <f>+J49</f>
        <v>385987</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467306</v>
      </c>
      <c r="I51" s="53">
        <f>+H51</f>
        <v>467306</v>
      </c>
      <c r="J51" s="53">
        <v>643108</v>
      </c>
      <c r="K51" s="53">
        <f>+J51</f>
        <v>643108</v>
      </c>
    </row>
    <row r="52" spans="1:11" ht="12.75" customHeight="1" x14ac:dyDescent="0.2">
      <c r="A52" s="220" t="s">
        <v>144</v>
      </c>
      <c r="B52" s="220"/>
      <c r="C52" s="220"/>
      <c r="D52" s="220"/>
      <c r="E52" s="220"/>
      <c r="F52" s="220"/>
      <c r="G52" s="11">
        <v>45</v>
      </c>
      <c r="H52" s="53">
        <v>3759299</v>
      </c>
      <c r="I52" s="53">
        <f>+H52</f>
        <v>3759299</v>
      </c>
      <c r="J52" s="53">
        <v>2883467</v>
      </c>
      <c r="K52" s="53">
        <f>+J52</f>
        <v>2883467</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44343204</v>
      </c>
      <c r="I60" s="52">
        <f t="shared" ref="I60:K60" si="4">I8+I37+I56+I57</f>
        <v>44343204</v>
      </c>
      <c r="J60" s="52">
        <f t="shared" si="4"/>
        <v>48822779</v>
      </c>
      <c r="K60" s="52">
        <f t="shared" si="4"/>
        <v>48822779</v>
      </c>
    </row>
    <row r="61" spans="1:11" ht="12.75" customHeight="1" x14ac:dyDescent="0.2">
      <c r="A61" s="216" t="s">
        <v>364</v>
      </c>
      <c r="B61" s="216"/>
      <c r="C61" s="216"/>
      <c r="D61" s="216"/>
      <c r="E61" s="216"/>
      <c r="F61" s="216"/>
      <c r="G61" s="12">
        <v>54</v>
      </c>
      <c r="H61" s="52">
        <f>H14+H48+H58+H59</f>
        <v>54226818</v>
      </c>
      <c r="I61" s="52">
        <f t="shared" ref="I61:K61" si="5">I14+I48+I58+I59</f>
        <v>54226818</v>
      </c>
      <c r="J61" s="52">
        <f t="shared" si="5"/>
        <v>58603811</v>
      </c>
      <c r="K61" s="52">
        <f t="shared" si="5"/>
        <v>58603811</v>
      </c>
    </row>
    <row r="62" spans="1:11" ht="12.75" customHeight="1" x14ac:dyDescent="0.2">
      <c r="A62" s="216" t="s">
        <v>365</v>
      </c>
      <c r="B62" s="216"/>
      <c r="C62" s="216"/>
      <c r="D62" s="216"/>
      <c r="E62" s="216"/>
      <c r="F62" s="216"/>
      <c r="G62" s="12">
        <v>55</v>
      </c>
      <c r="H62" s="52">
        <f>H60-H61</f>
        <v>-9883614</v>
      </c>
      <c r="I62" s="52">
        <f t="shared" ref="I62:K62" si="6">I60-I61</f>
        <v>-9883614</v>
      </c>
      <c r="J62" s="52">
        <f t="shared" si="6"/>
        <v>-9781032</v>
      </c>
      <c r="K62" s="52">
        <f t="shared" si="6"/>
        <v>-9781032</v>
      </c>
    </row>
    <row r="63" spans="1:11" ht="12.75" customHeight="1" x14ac:dyDescent="0.2">
      <c r="A63" s="221" t="s">
        <v>366</v>
      </c>
      <c r="B63" s="221"/>
      <c r="C63" s="221"/>
      <c r="D63" s="221"/>
      <c r="E63" s="221"/>
      <c r="F63" s="221"/>
      <c r="G63" s="12">
        <v>56</v>
      </c>
      <c r="H63" s="52">
        <f>+IF((H60-H61)&gt;0,(H60-H61),0)</f>
        <v>0</v>
      </c>
      <c r="I63" s="52">
        <f t="shared" ref="I63:K63" si="7">+IF((I60-I61)&gt;0,(I60-I61),0)</f>
        <v>0</v>
      </c>
      <c r="J63" s="52">
        <f t="shared" si="7"/>
        <v>0</v>
      </c>
      <c r="K63" s="52">
        <f t="shared" si="7"/>
        <v>0</v>
      </c>
    </row>
    <row r="64" spans="1:11" ht="12.75" customHeight="1" x14ac:dyDescent="0.2">
      <c r="A64" s="221" t="s">
        <v>367</v>
      </c>
      <c r="B64" s="221"/>
      <c r="C64" s="221"/>
      <c r="D64" s="221"/>
      <c r="E64" s="221"/>
      <c r="F64" s="221"/>
      <c r="G64" s="12">
        <v>57</v>
      </c>
      <c r="H64" s="52">
        <f>+IF((H60-H61)&lt;0,(H60-H61),0)</f>
        <v>-9883614</v>
      </c>
      <c r="I64" s="52">
        <f t="shared" ref="I64:K64" si="8">+IF((I60-I61)&lt;0,(I60-I61),0)</f>
        <v>-9883614</v>
      </c>
      <c r="J64" s="52">
        <f t="shared" si="8"/>
        <v>-9781032</v>
      </c>
      <c r="K64" s="52">
        <f t="shared" si="8"/>
        <v>-9781032</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-9883614</v>
      </c>
      <c r="I66" s="52">
        <f t="shared" ref="I66:K66" si="9">I62-I65</f>
        <v>-9883614</v>
      </c>
      <c r="J66" s="52">
        <f t="shared" si="9"/>
        <v>-9781032</v>
      </c>
      <c r="K66" s="52">
        <f t="shared" si="9"/>
        <v>-9781032</v>
      </c>
    </row>
    <row r="67" spans="1:11" ht="12.75" customHeight="1" x14ac:dyDescent="0.2">
      <c r="A67" s="221" t="s">
        <v>369</v>
      </c>
      <c r="B67" s="221"/>
      <c r="C67" s="221"/>
      <c r="D67" s="221"/>
      <c r="E67" s="221"/>
      <c r="F67" s="221"/>
      <c r="G67" s="12">
        <v>60</v>
      </c>
      <c r="H67" s="52">
        <f>+IF((H62-H65)&gt;0,(H62-H65),0)</f>
        <v>0</v>
      </c>
      <c r="I67" s="52">
        <f t="shared" ref="I67:K67" si="10">+IF((I62-I65)&gt;0,(I62-I65),0)</f>
        <v>0</v>
      </c>
      <c r="J67" s="52">
        <f t="shared" si="10"/>
        <v>0</v>
      </c>
      <c r="K67" s="52">
        <f t="shared" si="10"/>
        <v>0</v>
      </c>
    </row>
    <row r="68" spans="1:11" ht="12.75" customHeight="1" x14ac:dyDescent="0.2">
      <c r="A68" s="221" t="s">
        <v>370</v>
      </c>
      <c r="B68" s="221"/>
      <c r="C68" s="221"/>
      <c r="D68" s="221"/>
      <c r="E68" s="221"/>
      <c r="F68" s="221"/>
      <c r="G68" s="12">
        <v>61</v>
      </c>
      <c r="H68" s="52">
        <f>+IF((H62-H65)&lt;0,(H62-H65),0)</f>
        <v>-9883614</v>
      </c>
      <c r="I68" s="52">
        <f t="shared" ref="I68:K68" si="11">+IF((I62-I65)&lt;0,(I62-I65),0)</f>
        <v>-9883614</v>
      </c>
      <c r="J68" s="52">
        <f t="shared" si="11"/>
        <v>-9781032</v>
      </c>
      <c r="K68" s="52">
        <f t="shared" si="11"/>
        <v>-9781032</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-9883614</v>
      </c>
      <c r="I89" s="56">
        <f>+H89</f>
        <v>-9883614</v>
      </c>
      <c r="J89" s="56">
        <f t="shared" ref="J89:K89" si="12">J66</f>
        <v>-9781032</v>
      </c>
      <c r="K89" s="56">
        <f t="shared" si="12"/>
        <v>-9781032</v>
      </c>
    </row>
    <row r="90" spans="1:11" ht="24" customHeight="1" x14ac:dyDescent="0.2">
      <c r="A90" s="184" t="s">
        <v>437</v>
      </c>
      <c r="B90" s="184"/>
      <c r="C90" s="184"/>
      <c r="D90" s="184"/>
      <c r="E90" s="184"/>
      <c r="F90" s="184"/>
      <c r="G90" s="12">
        <v>79</v>
      </c>
      <c r="H90" s="73">
        <f>H91+H98</f>
        <v>6966</v>
      </c>
      <c r="I90" s="73">
        <f>I91+I98</f>
        <v>6966</v>
      </c>
      <c r="J90" s="73">
        <f t="shared" ref="J90:K90" si="13">J91+J98</f>
        <v>63476</v>
      </c>
      <c r="K90" s="73">
        <f t="shared" si="13"/>
        <v>63476</v>
      </c>
    </row>
    <row r="91" spans="1:11" ht="24" customHeight="1" x14ac:dyDescent="0.2">
      <c r="A91" s="231" t="s">
        <v>444</v>
      </c>
      <c r="B91" s="231"/>
      <c r="C91" s="231"/>
      <c r="D91" s="231"/>
      <c r="E91" s="231"/>
      <c r="F91" s="231"/>
      <c r="G91" s="12">
        <v>80</v>
      </c>
      <c r="H91" s="73">
        <f>SUM(H92:H96)</f>
        <v>0</v>
      </c>
      <c r="I91" s="73">
        <f>SUM(I92:I96)</f>
        <v>0</v>
      </c>
      <c r="J91" s="73">
        <f t="shared" ref="J91:K91" si="14">SUM(J92:J96)</f>
        <v>0</v>
      </c>
      <c r="K91" s="73">
        <f t="shared" si="14"/>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6966</v>
      </c>
      <c r="I98" s="73">
        <f>SUM(I99:I106)</f>
        <v>6966</v>
      </c>
      <c r="J98" s="73">
        <f t="shared" ref="J98:K98" si="15">SUM(J99:J106)</f>
        <v>63476</v>
      </c>
      <c r="K98" s="73">
        <f t="shared" si="15"/>
        <v>63476</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6966</v>
      </c>
      <c r="I106" s="56">
        <v>6966</v>
      </c>
      <c r="J106" s="56">
        <v>63476</v>
      </c>
      <c r="K106" s="56">
        <f>+J106</f>
        <v>63476</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6966</v>
      </c>
      <c r="I108" s="73">
        <f>I91+I98-I107-I97</f>
        <v>6966</v>
      </c>
      <c r="J108" s="73">
        <f t="shared" ref="J108:K108" si="16">J91+J98-J107-J97</f>
        <v>63476</v>
      </c>
      <c r="K108" s="73">
        <f t="shared" si="16"/>
        <v>63476</v>
      </c>
    </row>
    <row r="109" spans="1:11" ht="12.75" customHeight="1" x14ac:dyDescent="0.2">
      <c r="A109" s="184" t="s">
        <v>393</v>
      </c>
      <c r="B109" s="184"/>
      <c r="C109" s="184"/>
      <c r="D109" s="184"/>
      <c r="E109" s="184"/>
      <c r="F109" s="184"/>
      <c r="G109" s="12">
        <v>98</v>
      </c>
      <c r="H109" s="55">
        <f>H89+H108</f>
        <v>-9876648</v>
      </c>
      <c r="I109" s="55">
        <f>I89+I108</f>
        <v>-9876648</v>
      </c>
      <c r="J109" s="55">
        <f t="shared" ref="J109:K109" si="17">J89+J108</f>
        <v>-9717556</v>
      </c>
      <c r="K109" s="55">
        <f t="shared" si="17"/>
        <v>-9717556</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-9876648</v>
      </c>
      <c r="I111" s="55">
        <f>I112+I113</f>
        <v>-9876648</v>
      </c>
      <c r="J111" s="55">
        <f>J112+J113</f>
        <v>-9717556</v>
      </c>
      <c r="K111" s="55">
        <f>K112+K113</f>
        <v>-9717556</v>
      </c>
    </row>
    <row r="112" spans="1:11" ht="12.75" customHeight="1" x14ac:dyDescent="0.2">
      <c r="A112" s="228" t="s">
        <v>113</v>
      </c>
      <c r="B112" s="228"/>
      <c r="C112" s="228"/>
      <c r="D112" s="228"/>
      <c r="E112" s="228"/>
      <c r="F112" s="228"/>
      <c r="G112" s="11">
        <v>100</v>
      </c>
      <c r="H112" s="56">
        <f>H109</f>
        <v>-9876648</v>
      </c>
      <c r="I112" s="56">
        <f>+H112</f>
        <v>-9876648</v>
      </c>
      <c r="J112" s="56">
        <f>J109</f>
        <v>-9717556</v>
      </c>
      <c r="K112" s="56">
        <f>K109</f>
        <v>-9717556</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H11" sqref="H1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474</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472</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-9883614</v>
      </c>
      <c r="I8" s="68">
        <f>RDG!J68</f>
        <v>-9781032</v>
      </c>
    </row>
    <row r="9" spans="1:9" ht="12.75" customHeight="1" x14ac:dyDescent="0.2">
      <c r="A9" s="240" t="s">
        <v>171</v>
      </c>
      <c r="B9" s="240"/>
      <c r="C9" s="240"/>
      <c r="D9" s="240"/>
      <c r="E9" s="240"/>
      <c r="F9" s="240"/>
      <c r="G9" s="69">
        <v>2</v>
      </c>
      <c r="H9" s="70">
        <f>H10+H11+H12+H13+H14+H15+H16+H17</f>
        <v>3263815</v>
      </c>
      <c r="I9" s="70">
        <f>I10+I11+I12+I13+I14+I15+I16+I17</f>
        <v>-297893</v>
      </c>
    </row>
    <row r="10" spans="1:9" ht="12.75" customHeight="1" x14ac:dyDescent="0.2">
      <c r="A10" s="217" t="s">
        <v>172</v>
      </c>
      <c r="B10" s="217"/>
      <c r="C10" s="217"/>
      <c r="D10" s="217"/>
      <c r="E10" s="217"/>
      <c r="F10" s="217"/>
      <c r="G10" s="67">
        <v>3</v>
      </c>
      <c r="H10" s="68">
        <v>4817314</v>
      </c>
      <c r="I10" s="68">
        <f>RDG!J24</f>
        <v>4696705</v>
      </c>
    </row>
    <row r="11" spans="1:9" ht="22.15" customHeight="1" x14ac:dyDescent="0.2">
      <c r="A11" s="217" t="s">
        <v>173</v>
      </c>
      <c r="B11" s="217"/>
      <c r="C11" s="217"/>
      <c r="D11" s="217"/>
      <c r="E11" s="217"/>
      <c r="F11" s="217"/>
      <c r="G11" s="67">
        <v>4</v>
      </c>
      <c r="H11" s="68">
        <v>-29383</v>
      </c>
      <c r="I11" s="68">
        <v>-2961</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-148817</v>
      </c>
      <c r="I13" s="68">
        <f>RDG!J44*-1-49</f>
        <v>-649013</v>
      </c>
    </row>
    <row r="14" spans="1:9" ht="12.75" customHeight="1" x14ac:dyDescent="0.2">
      <c r="A14" s="217" t="s">
        <v>176</v>
      </c>
      <c r="B14" s="217"/>
      <c r="C14" s="217"/>
      <c r="D14" s="217"/>
      <c r="E14" s="217"/>
      <c r="F14" s="217"/>
      <c r="G14" s="67">
        <v>7</v>
      </c>
      <c r="H14" s="68">
        <v>752901</v>
      </c>
      <c r="I14" s="68">
        <f>1028692+344</f>
        <v>1029036</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-301531</v>
      </c>
      <c r="I16" s="68">
        <v>74694</v>
      </c>
    </row>
    <row r="17" spans="1:9" ht="25.15" customHeight="1" x14ac:dyDescent="0.2">
      <c r="A17" s="217" t="s">
        <v>179</v>
      </c>
      <c r="B17" s="217"/>
      <c r="C17" s="217"/>
      <c r="D17" s="217"/>
      <c r="E17" s="217"/>
      <c r="F17" s="217"/>
      <c r="G17" s="67">
        <v>10</v>
      </c>
      <c r="H17" s="68">
        <v>-1826669</v>
      </c>
      <c r="I17" s="68">
        <f>-5296354-150000</f>
        <v>-5446354</v>
      </c>
    </row>
    <row r="18" spans="1:9" ht="28.15" customHeight="1" x14ac:dyDescent="0.2">
      <c r="A18" s="239" t="s">
        <v>306</v>
      </c>
      <c r="B18" s="239"/>
      <c r="C18" s="239"/>
      <c r="D18" s="239"/>
      <c r="E18" s="239"/>
      <c r="F18" s="239"/>
      <c r="G18" s="69">
        <v>11</v>
      </c>
      <c r="H18" s="70">
        <f>H8+H9</f>
        <v>-6619799</v>
      </c>
      <c r="I18" s="70">
        <f>I8+I9</f>
        <v>-10078925</v>
      </c>
    </row>
    <row r="19" spans="1:9" ht="12.75" customHeight="1" x14ac:dyDescent="0.2">
      <c r="A19" s="240" t="s">
        <v>180</v>
      </c>
      <c r="B19" s="240"/>
      <c r="C19" s="240"/>
      <c r="D19" s="240"/>
      <c r="E19" s="240"/>
      <c r="F19" s="240"/>
      <c r="G19" s="69">
        <v>12</v>
      </c>
      <c r="H19" s="70">
        <f>H20+H21+H22+H23</f>
        <v>16899193</v>
      </c>
      <c r="I19" s="70">
        <f>I20+I21+I22+I23</f>
        <v>13755090</v>
      </c>
    </row>
    <row r="20" spans="1:9" ht="12.75" customHeight="1" x14ac:dyDescent="0.2">
      <c r="A20" s="217" t="s">
        <v>181</v>
      </c>
      <c r="B20" s="217"/>
      <c r="C20" s="217"/>
      <c r="D20" s="217"/>
      <c r="E20" s="217"/>
      <c r="F20" s="217"/>
      <c r="G20" s="67">
        <v>13</v>
      </c>
      <c r="H20" s="68">
        <v>29895696</v>
      </c>
      <c r="I20" s="68">
        <f>23473115+5145+43080</f>
        <v>23521340</v>
      </c>
    </row>
    <row r="21" spans="1:9" ht="12.75" customHeight="1" x14ac:dyDescent="0.2">
      <c r="A21" s="217" t="s">
        <v>182</v>
      </c>
      <c r="B21" s="217"/>
      <c r="C21" s="217"/>
      <c r="D21" s="217"/>
      <c r="E21" s="217"/>
      <c r="F21" s="217"/>
      <c r="G21" s="67">
        <v>14</v>
      </c>
      <c r="H21" s="68">
        <v>-8791965</v>
      </c>
      <c r="I21" s="68">
        <f>-8973450-1359-78266</f>
        <v>-9053075</v>
      </c>
    </row>
    <row r="22" spans="1:9" ht="12.75" customHeight="1" x14ac:dyDescent="0.2">
      <c r="A22" s="217" t="s">
        <v>183</v>
      </c>
      <c r="B22" s="217"/>
      <c r="C22" s="217"/>
      <c r="D22" s="217"/>
      <c r="E22" s="217"/>
      <c r="F22" s="217"/>
      <c r="G22" s="67">
        <v>15</v>
      </c>
      <c r="H22" s="68">
        <v>34796</v>
      </c>
      <c r="I22" s="68">
        <v>-322271</v>
      </c>
    </row>
    <row r="23" spans="1:9" ht="12.75" customHeight="1" x14ac:dyDescent="0.2">
      <c r="A23" s="217" t="s">
        <v>184</v>
      </c>
      <c r="B23" s="217"/>
      <c r="C23" s="217"/>
      <c r="D23" s="217"/>
      <c r="E23" s="217"/>
      <c r="F23" s="217"/>
      <c r="G23" s="67">
        <v>16</v>
      </c>
      <c r="H23" s="68">
        <f>-5668005+1428671</f>
        <v>-4239334</v>
      </c>
      <c r="I23" s="68">
        <f>-166016-224888</f>
        <v>-390904</v>
      </c>
    </row>
    <row r="24" spans="1:9" ht="12.75" customHeight="1" x14ac:dyDescent="0.2">
      <c r="A24" s="239" t="s">
        <v>185</v>
      </c>
      <c r="B24" s="239"/>
      <c r="C24" s="239"/>
      <c r="D24" s="239"/>
      <c r="E24" s="239"/>
      <c r="F24" s="239"/>
      <c r="G24" s="69">
        <v>17</v>
      </c>
      <c r="H24" s="70">
        <f>H18+H19</f>
        <v>10279394</v>
      </c>
      <c r="I24" s="70">
        <f>I18+I19</f>
        <v>3676165</v>
      </c>
    </row>
    <row r="25" spans="1:9" ht="12.75" customHeight="1" x14ac:dyDescent="0.2">
      <c r="A25" s="182" t="s">
        <v>186</v>
      </c>
      <c r="B25" s="182"/>
      <c r="C25" s="182"/>
      <c r="D25" s="182"/>
      <c r="E25" s="182"/>
      <c r="F25" s="182"/>
      <c r="G25" s="67">
        <v>18</v>
      </c>
      <c r="H25" s="68">
        <v>-467626</v>
      </c>
      <c r="I25" s="68">
        <v>-643183</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9811768</v>
      </c>
      <c r="I27" s="70">
        <f>I24+I25+I26</f>
        <v>3032982</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36788</v>
      </c>
      <c r="I29" s="71">
        <v>5521</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36788</v>
      </c>
      <c r="I35" s="72">
        <f>I29+I30+I31+I32+I33+I34</f>
        <v>5521</v>
      </c>
    </row>
    <row r="36" spans="1:9" ht="22.9" customHeight="1" x14ac:dyDescent="0.2">
      <c r="A36" s="182" t="s">
        <v>197</v>
      </c>
      <c r="B36" s="182"/>
      <c r="C36" s="182"/>
      <c r="D36" s="182"/>
      <c r="E36" s="182"/>
      <c r="F36" s="182"/>
      <c r="G36" s="67">
        <v>28</v>
      </c>
      <c r="H36" s="71">
        <v>-2492537</v>
      </c>
      <c r="I36" s="71">
        <v>-933030</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-1428671</v>
      </c>
      <c r="I40" s="71">
        <v>-2511574</v>
      </c>
    </row>
    <row r="41" spans="1:9" ht="24" customHeight="1" x14ac:dyDescent="0.2">
      <c r="A41" s="239" t="s">
        <v>202</v>
      </c>
      <c r="B41" s="239"/>
      <c r="C41" s="239"/>
      <c r="D41" s="239"/>
      <c r="E41" s="239"/>
      <c r="F41" s="239"/>
      <c r="G41" s="69">
        <v>33</v>
      </c>
      <c r="H41" s="72">
        <f>H36+H37+H38+H39+H40</f>
        <v>-3921208</v>
      </c>
      <c r="I41" s="72">
        <f>I36+I37+I38+I39+I40</f>
        <v>-3444604</v>
      </c>
    </row>
    <row r="42" spans="1:9" ht="29.45" customHeight="1" x14ac:dyDescent="0.2">
      <c r="A42" s="244" t="s">
        <v>203</v>
      </c>
      <c r="B42" s="244"/>
      <c r="C42" s="244"/>
      <c r="D42" s="244"/>
      <c r="E42" s="244"/>
      <c r="F42" s="244"/>
      <c r="G42" s="69">
        <v>34</v>
      </c>
      <c r="H42" s="72">
        <f>H35+H41</f>
        <v>-3884420</v>
      </c>
      <c r="I42" s="72">
        <f>I35+I41</f>
        <v>-3439083</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0</v>
      </c>
      <c r="I48" s="72">
        <f>I44+I45+I46+I47</f>
        <v>0</v>
      </c>
    </row>
    <row r="49" spans="1:9" ht="24.6" customHeight="1" x14ac:dyDescent="0.2">
      <c r="A49" s="182" t="s">
        <v>305</v>
      </c>
      <c r="B49" s="182"/>
      <c r="C49" s="182"/>
      <c r="D49" s="182"/>
      <c r="E49" s="182"/>
      <c r="F49" s="182"/>
      <c r="G49" s="67">
        <v>40</v>
      </c>
      <c r="H49" s="71">
        <v>-300000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-2662415</v>
      </c>
      <c r="I53" s="71">
        <f>-3271516-75000</f>
        <v>-3346516</v>
      </c>
    </row>
    <row r="54" spans="1:9" ht="30.6" customHeight="1" x14ac:dyDescent="0.2">
      <c r="A54" s="239" t="s">
        <v>214</v>
      </c>
      <c r="B54" s="239"/>
      <c r="C54" s="239"/>
      <c r="D54" s="239"/>
      <c r="E54" s="239"/>
      <c r="F54" s="239"/>
      <c r="G54" s="69">
        <v>45</v>
      </c>
      <c r="H54" s="72">
        <f>H49+H50+H51+H52+H53</f>
        <v>-2962415</v>
      </c>
      <c r="I54" s="72">
        <f>I49+I50+I51+I52+I53</f>
        <v>-3346516</v>
      </c>
    </row>
    <row r="55" spans="1:9" ht="29.45" customHeight="1" x14ac:dyDescent="0.2">
      <c r="A55" s="244" t="s">
        <v>215</v>
      </c>
      <c r="B55" s="244"/>
      <c r="C55" s="244"/>
      <c r="D55" s="244"/>
      <c r="E55" s="244"/>
      <c r="F55" s="244"/>
      <c r="G55" s="69">
        <v>46</v>
      </c>
      <c r="H55" s="72">
        <f>H48+H54</f>
        <v>-2962415</v>
      </c>
      <c r="I55" s="72">
        <f>I48+I54</f>
        <v>-3346516</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2964933</v>
      </c>
      <c r="I57" s="72">
        <f>I27+I42+I55+I56</f>
        <v>-3752617</v>
      </c>
    </row>
    <row r="58" spans="1:9" x14ac:dyDescent="0.2">
      <c r="A58" s="245" t="s">
        <v>218</v>
      </c>
      <c r="B58" s="245"/>
      <c r="C58" s="245"/>
      <c r="D58" s="245"/>
      <c r="E58" s="245"/>
      <c r="F58" s="245"/>
      <c r="G58" s="67">
        <v>49</v>
      </c>
      <c r="H58" s="71">
        <v>77021826</v>
      </c>
      <c r="I58" s="71">
        <f>Bilanca!H70</f>
        <v>79913078</v>
      </c>
    </row>
    <row r="59" spans="1:9" ht="31.15" customHeight="1" x14ac:dyDescent="0.2">
      <c r="A59" s="244" t="s">
        <v>219</v>
      </c>
      <c r="B59" s="244"/>
      <c r="C59" s="244"/>
      <c r="D59" s="244"/>
      <c r="E59" s="244"/>
      <c r="F59" s="244"/>
      <c r="G59" s="69">
        <v>50</v>
      </c>
      <c r="H59" s="72">
        <f>H57+H58</f>
        <v>79986759</v>
      </c>
      <c r="I59" s="72">
        <f>I57+I58</f>
        <v>76160461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6" zoomScale="85" zoomScaleNormal="100" zoomScaleSheetLayoutView="85" workbookViewId="0">
      <selection activeCell="I16" sqref="I1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zoomScale="89" zoomScaleNormal="89" zoomScaleSheetLayoutView="80" workbookViewId="0">
      <selection activeCell="W30" sqref="W3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45382</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83333935</v>
      </c>
      <c r="I7" s="33">
        <v>39285951</v>
      </c>
      <c r="J7" s="33">
        <v>0</v>
      </c>
      <c r="K7" s="33">
        <v>0</v>
      </c>
      <c r="L7" s="33">
        <v>0</v>
      </c>
      <c r="M7" s="33">
        <v>0</v>
      </c>
      <c r="N7" s="33">
        <v>412239</v>
      </c>
      <c r="O7" s="33">
        <v>0</v>
      </c>
      <c r="P7" s="33">
        <v>-56494</v>
      </c>
      <c r="Q7" s="33">
        <v>0</v>
      </c>
      <c r="R7" s="33">
        <v>0</v>
      </c>
      <c r="S7" s="33">
        <v>0</v>
      </c>
      <c r="T7" s="33">
        <v>0</v>
      </c>
      <c r="U7" s="33">
        <v>-92763964</v>
      </c>
      <c r="V7" s="33">
        <v>-17935484</v>
      </c>
      <c r="W7" s="34">
        <f>H7+I7+J7+K7-L7+M7+N7+O7+P7+Q7+R7+U7+V7+S7+T7</f>
        <v>12276183</v>
      </c>
      <c r="X7" s="33">
        <v>0</v>
      </c>
      <c r="Y7" s="34">
        <f>W7+X7</f>
        <v>12276183</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83333935</v>
      </c>
      <c r="I10" s="34">
        <f t="shared" ref="I10:Y10" si="2">I7+I8+I9</f>
        <v>39285951</v>
      </c>
      <c r="J10" s="34">
        <f t="shared" si="2"/>
        <v>0</v>
      </c>
      <c r="K10" s="34">
        <f>K7+K8+K9</f>
        <v>0</v>
      </c>
      <c r="L10" s="34">
        <f t="shared" si="2"/>
        <v>0</v>
      </c>
      <c r="M10" s="34">
        <f t="shared" si="2"/>
        <v>0</v>
      </c>
      <c r="N10" s="34">
        <f t="shared" si="2"/>
        <v>412239</v>
      </c>
      <c r="O10" s="34">
        <f t="shared" si="2"/>
        <v>0</v>
      </c>
      <c r="P10" s="34">
        <f t="shared" si="2"/>
        <v>-56494</v>
      </c>
      <c r="Q10" s="34">
        <f t="shared" si="2"/>
        <v>0</v>
      </c>
      <c r="R10" s="34">
        <f t="shared" si="2"/>
        <v>0</v>
      </c>
      <c r="S10" s="34">
        <f t="shared" si="2"/>
        <v>0</v>
      </c>
      <c r="T10" s="34">
        <f t="shared" si="2"/>
        <v>0</v>
      </c>
      <c r="U10" s="34">
        <f t="shared" si="2"/>
        <v>-92763964</v>
      </c>
      <c r="V10" s="34">
        <f t="shared" si="2"/>
        <v>-17935484</v>
      </c>
      <c r="W10" s="34">
        <f t="shared" si="2"/>
        <v>12276183</v>
      </c>
      <c r="X10" s="34">
        <f t="shared" si="2"/>
        <v>0</v>
      </c>
      <c r="Y10" s="34">
        <f t="shared" si="2"/>
        <v>12276183</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f>RDG!H68</f>
        <v>-9883614</v>
      </c>
      <c r="W11" s="34">
        <f t="shared" ref="W11:W29" si="3">H11+I11+J11+K11-L11+M11+N11+O11+P11+Q11+R11+U11+V11+S11+T11</f>
        <v>-9883614</v>
      </c>
      <c r="X11" s="33">
        <v>0</v>
      </c>
      <c r="Y11" s="34">
        <f t="shared" ref="Y11:Y29" si="4">W11+X11</f>
        <v>-9883614</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6966</v>
      </c>
      <c r="Q14" s="35">
        <v>0</v>
      </c>
      <c r="R14" s="35">
        <v>0</v>
      </c>
      <c r="S14" s="33">
        <v>0</v>
      </c>
      <c r="T14" s="33">
        <v>0</v>
      </c>
      <c r="U14" s="33">
        <v>0</v>
      </c>
      <c r="V14" s="33">
        <v>0</v>
      </c>
      <c r="W14" s="34">
        <f t="shared" si="3"/>
        <v>6966</v>
      </c>
      <c r="X14" s="33">
        <v>0</v>
      </c>
      <c r="Y14" s="34">
        <f t="shared" si="4"/>
        <v>6966</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f>RDG!H101</f>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39285951</v>
      </c>
      <c r="I25" s="33">
        <v>-39285951</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-17936543</v>
      </c>
      <c r="V28" s="33">
        <v>17935484</v>
      </c>
      <c r="W28" s="34">
        <f t="shared" si="3"/>
        <v>-1059</v>
      </c>
      <c r="X28" s="33">
        <v>0</v>
      </c>
      <c r="Y28" s="34">
        <f t="shared" si="4"/>
        <v>-1059</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122619886</v>
      </c>
      <c r="I30" s="36">
        <f t="shared" ref="I30:Y30" si="5">SUM(I10:I29)</f>
        <v>0</v>
      </c>
      <c r="J30" s="36">
        <f t="shared" si="5"/>
        <v>0</v>
      </c>
      <c r="K30" s="36">
        <f t="shared" si="5"/>
        <v>0</v>
      </c>
      <c r="L30" s="36">
        <f t="shared" si="5"/>
        <v>0</v>
      </c>
      <c r="M30" s="36">
        <f t="shared" si="5"/>
        <v>0</v>
      </c>
      <c r="N30" s="36">
        <f t="shared" si="5"/>
        <v>412239</v>
      </c>
      <c r="O30" s="36">
        <f t="shared" si="5"/>
        <v>0</v>
      </c>
      <c r="P30" s="36">
        <f t="shared" si="5"/>
        <v>-49528</v>
      </c>
      <c r="Q30" s="36">
        <f t="shared" si="5"/>
        <v>0</v>
      </c>
      <c r="R30" s="36">
        <f t="shared" si="5"/>
        <v>0</v>
      </c>
      <c r="S30" s="36">
        <f t="shared" si="5"/>
        <v>0</v>
      </c>
      <c r="T30" s="36">
        <f t="shared" si="5"/>
        <v>0</v>
      </c>
      <c r="U30" s="36">
        <f t="shared" si="5"/>
        <v>-110700507</v>
      </c>
      <c r="V30" s="36">
        <f t="shared" si="5"/>
        <v>-9883614</v>
      </c>
      <c r="W30" s="36">
        <f t="shared" si="5"/>
        <v>2398476</v>
      </c>
      <c r="X30" s="36">
        <f t="shared" si="5"/>
        <v>0</v>
      </c>
      <c r="Y30" s="36">
        <f t="shared" si="5"/>
        <v>2398476</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6966</v>
      </c>
      <c r="Q32" s="34">
        <f t="shared" si="6"/>
        <v>0</v>
      </c>
      <c r="R32" s="34">
        <f t="shared" si="6"/>
        <v>0</v>
      </c>
      <c r="S32" s="34">
        <f t="shared" ref="S32:T32" si="7">SUM(S12:S20)</f>
        <v>0</v>
      </c>
      <c r="T32" s="34">
        <f t="shared" si="7"/>
        <v>0</v>
      </c>
      <c r="U32" s="34">
        <f t="shared" si="6"/>
        <v>0</v>
      </c>
      <c r="V32" s="34">
        <f t="shared" si="6"/>
        <v>0</v>
      </c>
      <c r="W32" s="34">
        <f t="shared" si="6"/>
        <v>6966</v>
      </c>
      <c r="X32" s="34">
        <f t="shared" si="6"/>
        <v>0</v>
      </c>
      <c r="Y32" s="34">
        <f t="shared" si="6"/>
        <v>6966</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6966</v>
      </c>
      <c r="Q33" s="34">
        <f t="shared" si="8"/>
        <v>0</v>
      </c>
      <c r="R33" s="34">
        <f t="shared" si="8"/>
        <v>0</v>
      </c>
      <c r="S33" s="34">
        <f t="shared" ref="S33:T33" si="9">S11+S32</f>
        <v>0</v>
      </c>
      <c r="T33" s="34">
        <f t="shared" si="9"/>
        <v>0</v>
      </c>
      <c r="U33" s="34">
        <f t="shared" si="8"/>
        <v>0</v>
      </c>
      <c r="V33" s="34">
        <f t="shared" si="8"/>
        <v>-9883614</v>
      </c>
      <c r="W33" s="34">
        <f t="shared" si="8"/>
        <v>-9876648</v>
      </c>
      <c r="X33" s="34">
        <f t="shared" si="8"/>
        <v>0</v>
      </c>
      <c r="Y33" s="34">
        <f t="shared" si="8"/>
        <v>-9876648</v>
      </c>
    </row>
    <row r="34" spans="1:25" ht="30.75" customHeight="1" x14ac:dyDescent="0.2">
      <c r="A34" s="292" t="s">
        <v>429</v>
      </c>
      <c r="B34" s="292"/>
      <c r="C34" s="292"/>
      <c r="D34" s="292"/>
      <c r="E34" s="292"/>
      <c r="F34" s="292"/>
      <c r="G34" s="8">
        <v>27</v>
      </c>
      <c r="H34" s="36">
        <f>SUM(H21:H29)</f>
        <v>39285951</v>
      </c>
      <c r="I34" s="36">
        <f t="shared" ref="I34:Y34" si="10">SUM(I21:I29)</f>
        <v>-39285951</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-17936543</v>
      </c>
      <c r="V34" s="36">
        <f t="shared" si="10"/>
        <v>17935484</v>
      </c>
      <c r="W34" s="36">
        <f t="shared" si="10"/>
        <v>-1059</v>
      </c>
      <c r="X34" s="36">
        <f t="shared" si="10"/>
        <v>0</v>
      </c>
      <c r="Y34" s="36">
        <f t="shared" si="10"/>
        <v>-1059</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Bilanca!H76</f>
        <v>92387953</v>
      </c>
      <c r="I36" s="33">
        <f>Bilanca!H77</f>
        <v>0</v>
      </c>
      <c r="J36" s="33">
        <v>0</v>
      </c>
      <c r="K36" s="33">
        <v>0</v>
      </c>
      <c r="L36" s="33">
        <v>0</v>
      </c>
      <c r="M36" s="33">
        <v>0</v>
      </c>
      <c r="N36" s="33">
        <f>Bilanca!H83</f>
        <v>412157</v>
      </c>
      <c r="O36" s="33">
        <f>Bilanca!H84</f>
        <v>412184</v>
      </c>
      <c r="P36" s="33">
        <f>Bilanca!H86</f>
        <v>63476</v>
      </c>
      <c r="Q36" s="33">
        <v>0</v>
      </c>
      <c r="R36" s="33">
        <v>0</v>
      </c>
      <c r="S36" s="33">
        <v>0</v>
      </c>
      <c r="T36" s="33">
        <v>0</v>
      </c>
      <c r="U36" s="33">
        <f>Bilanca!H91</f>
        <v>-80467432</v>
      </c>
      <c r="V36" s="33">
        <f>Bilanca!H94</f>
        <v>2361792</v>
      </c>
      <c r="W36" s="37">
        <f>H36+I36+J36+K36-L36+M36+N36+O36+P36+Q36+R36+U36+V36+S36+T36</f>
        <v>15170130</v>
      </c>
      <c r="X36" s="33">
        <v>0</v>
      </c>
      <c r="Y36" s="37">
        <f t="shared" ref="Y36:Y38" si="12">W36+X36</f>
        <v>15170130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92387953</v>
      </c>
      <c r="I39" s="34">
        <f t="shared" ref="I39:Y39" si="14">I36+I37+I38</f>
        <v>0</v>
      </c>
      <c r="J39" s="34">
        <f t="shared" si="14"/>
        <v>0</v>
      </c>
      <c r="K39" s="34">
        <f t="shared" si="14"/>
        <v>0</v>
      </c>
      <c r="L39" s="34">
        <f t="shared" si="14"/>
        <v>0</v>
      </c>
      <c r="M39" s="34">
        <f t="shared" si="14"/>
        <v>0</v>
      </c>
      <c r="N39" s="34">
        <f t="shared" si="14"/>
        <v>412157</v>
      </c>
      <c r="O39" s="34">
        <f t="shared" si="14"/>
        <v>412184</v>
      </c>
      <c r="P39" s="34">
        <f t="shared" si="14"/>
        <v>63476</v>
      </c>
      <c r="Q39" s="34">
        <f t="shared" si="14"/>
        <v>0</v>
      </c>
      <c r="R39" s="34">
        <f t="shared" si="14"/>
        <v>0</v>
      </c>
      <c r="S39" s="34">
        <f t="shared" si="14"/>
        <v>0</v>
      </c>
      <c r="T39" s="34">
        <f t="shared" si="14"/>
        <v>0</v>
      </c>
      <c r="U39" s="34">
        <f t="shared" si="14"/>
        <v>-80467432</v>
      </c>
      <c r="V39" s="34">
        <f t="shared" si="14"/>
        <v>2361792</v>
      </c>
      <c r="W39" s="34">
        <f t="shared" si="14"/>
        <v>15170130</v>
      </c>
      <c r="X39" s="34">
        <f t="shared" si="14"/>
        <v>0</v>
      </c>
      <c r="Y39" s="34">
        <f t="shared" si="14"/>
        <v>15170130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f>RDG!J62</f>
        <v>-9781032</v>
      </c>
      <c r="W40" s="37">
        <f t="shared" ref="W40:W58" si="15">H40+I40+J40+K40-L40+M40+N40+O40+P40+Q40+R40+U40+V40+S40+T40</f>
        <v>-9781032</v>
      </c>
      <c r="X40" s="33">
        <v>0</v>
      </c>
      <c r="Y40" s="37">
        <f t="shared" ref="Y40:Y58" si="16">W40+X40</f>
        <v>-9781032</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f>RDG!J106*-1</f>
        <v>-63476</v>
      </c>
      <c r="Q43" s="35">
        <v>0</v>
      </c>
      <c r="R43" s="35">
        <v>0</v>
      </c>
      <c r="S43" s="33">
        <v>0</v>
      </c>
      <c r="T43" s="33">
        <v>0</v>
      </c>
      <c r="U43" s="33">
        <v>0</v>
      </c>
      <c r="V43" s="33">
        <v>0</v>
      </c>
      <c r="W43" s="37">
        <f t="shared" si="15"/>
        <v>-63476</v>
      </c>
      <c r="X43" s="33">
        <v>0</v>
      </c>
      <c r="Y43" s="37">
        <f t="shared" si="16"/>
        <v>-63476</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f>I36</f>
        <v>0</v>
      </c>
      <c r="I54" s="33">
        <f>I36*-1</f>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f>Bilanca!I83-N36</f>
        <v>181928</v>
      </c>
      <c r="O57" s="33">
        <v>0</v>
      </c>
      <c r="P57" s="33">
        <v>0</v>
      </c>
      <c r="Q57" s="33">
        <v>0</v>
      </c>
      <c r="R57" s="33">
        <v>0</v>
      </c>
      <c r="S57" s="33">
        <v>0</v>
      </c>
      <c r="T57" s="33">
        <v>0</v>
      </c>
      <c r="U57" s="33">
        <v>2180767</v>
      </c>
      <c r="V57" s="33">
        <f>V36*-1</f>
        <v>-2361792</v>
      </c>
      <c r="W57" s="37">
        <f t="shared" si="15"/>
        <v>903</v>
      </c>
      <c r="X57" s="33">
        <v>0</v>
      </c>
      <c r="Y57" s="37">
        <f t="shared" si="16"/>
        <v>903</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92387953</v>
      </c>
      <c r="I59" s="36">
        <f t="shared" ref="I59:Y59" si="17">SUM(I39:I58)</f>
        <v>0</v>
      </c>
      <c r="J59" s="36">
        <f t="shared" si="17"/>
        <v>0</v>
      </c>
      <c r="K59" s="36">
        <f t="shared" si="17"/>
        <v>0</v>
      </c>
      <c r="L59" s="36">
        <f t="shared" si="17"/>
        <v>0</v>
      </c>
      <c r="M59" s="36">
        <f t="shared" si="17"/>
        <v>0</v>
      </c>
      <c r="N59" s="36">
        <f t="shared" si="17"/>
        <v>594085</v>
      </c>
      <c r="O59" s="36">
        <f t="shared" si="17"/>
        <v>412184</v>
      </c>
      <c r="P59" s="36">
        <f t="shared" si="17"/>
        <v>0</v>
      </c>
      <c r="Q59" s="36">
        <f t="shared" si="17"/>
        <v>0</v>
      </c>
      <c r="R59" s="36">
        <f t="shared" si="17"/>
        <v>0</v>
      </c>
      <c r="S59" s="36">
        <f t="shared" si="17"/>
        <v>0</v>
      </c>
      <c r="T59" s="36">
        <f t="shared" si="17"/>
        <v>0</v>
      </c>
      <c r="U59" s="36">
        <f t="shared" si="17"/>
        <v>-78286665</v>
      </c>
      <c r="V59" s="36">
        <f t="shared" si="17"/>
        <v>-9781032</v>
      </c>
      <c r="W59" s="36">
        <f t="shared" si="17"/>
        <v>5326525</v>
      </c>
      <c r="X59" s="36">
        <f t="shared" si="17"/>
        <v>0</v>
      </c>
      <c r="Y59" s="36">
        <f t="shared" si="17"/>
        <v>5326525</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-63476</v>
      </c>
      <c r="Q61" s="37">
        <f t="shared" si="18"/>
        <v>0</v>
      </c>
      <c r="R61" s="37">
        <f t="shared" si="18"/>
        <v>0</v>
      </c>
      <c r="S61" s="37">
        <f t="shared" ref="S61:T61" si="19">SUM(S41:S49)</f>
        <v>0</v>
      </c>
      <c r="T61" s="37">
        <f t="shared" si="19"/>
        <v>0</v>
      </c>
      <c r="U61" s="37">
        <f t="shared" si="18"/>
        <v>0</v>
      </c>
      <c r="V61" s="37">
        <f t="shared" si="18"/>
        <v>0</v>
      </c>
      <c r="W61" s="37">
        <f t="shared" si="18"/>
        <v>-63476</v>
      </c>
      <c r="X61" s="37">
        <f t="shared" si="18"/>
        <v>0</v>
      </c>
      <c r="Y61" s="37">
        <f t="shared" si="18"/>
        <v>-63476</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-63476</v>
      </c>
      <c r="Q62" s="37">
        <f t="shared" si="20"/>
        <v>0</v>
      </c>
      <c r="R62" s="37">
        <f t="shared" si="20"/>
        <v>0</v>
      </c>
      <c r="S62" s="37">
        <f t="shared" ref="S62:T62" si="21">S40+S61</f>
        <v>0</v>
      </c>
      <c r="T62" s="37">
        <f t="shared" si="21"/>
        <v>0</v>
      </c>
      <c r="U62" s="37">
        <f t="shared" si="20"/>
        <v>0</v>
      </c>
      <c r="V62" s="37">
        <f t="shared" si="20"/>
        <v>-9781032</v>
      </c>
      <c r="W62" s="37">
        <f t="shared" si="20"/>
        <v>-9844508</v>
      </c>
      <c r="X62" s="37">
        <f t="shared" si="20"/>
        <v>0</v>
      </c>
      <c r="Y62" s="37">
        <f t="shared" si="20"/>
        <v>-9844508</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181928</v>
      </c>
      <c r="O63" s="38">
        <f t="shared" si="22"/>
        <v>0</v>
      </c>
      <c r="P63" s="38">
        <f t="shared" si="22"/>
        <v>0</v>
      </c>
      <c r="Q63" s="38">
        <f t="shared" si="22"/>
        <v>0</v>
      </c>
      <c r="R63" s="38">
        <f t="shared" si="22"/>
        <v>0</v>
      </c>
      <c r="S63" s="38">
        <f t="shared" ref="S63:T63" si="23">SUM(S50:S58)</f>
        <v>0</v>
      </c>
      <c r="T63" s="38">
        <f t="shared" si="23"/>
        <v>0</v>
      </c>
      <c r="U63" s="38">
        <f t="shared" si="22"/>
        <v>2180767</v>
      </c>
      <c r="V63" s="38">
        <f t="shared" si="22"/>
        <v>-2361792</v>
      </c>
      <c r="W63" s="38">
        <f t="shared" si="22"/>
        <v>903</v>
      </c>
      <c r="X63" s="38">
        <f t="shared" si="22"/>
        <v>0</v>
      </c>
      <c r="Y63" s="38">
        <f t="shared" si="22"/>
        <v>903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2.75" x14ac:dyDescent="0.2"/>
  <cols>
    <col min="9" max="9" width="95" customWidth="1"/>
  </cols>
  <sheetData>
    <row r="1" spans="1:9" x14ac:dyDescent="0.2">
      <c r="A1" s="294" t="s">
        <v>473</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2024-04-30T13:32:27Z</cp:lastPrinted>
  <dcterms:created xsi:type="dcterms:W3CDTF">2008-10-17T11:51:54Z</dcterms:created>
  <dcterms:modified xsi:type="dcterms:W3CDTF">2024-04-30T13:33:13Z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