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1-3 2024 CTN\"/>
    </mc:Choice>
  </mc:AlternateContent>
  <xr:revisionPtr revIDLastSave="0" documentId="13_ncr:1_{1B6BEF11-F0F0-4BB5-9B01-C6E0921CEF94}"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22" l="1"/>
  <c r="O36" i="22"/>
  <c r="H23" i="20"/>
  <c r="I10" i="20"/>
  <c r="H16" i="18"/>
  <c r="H57" i="18"/>
  <c r="I131" i="18"/>
  <c r="I93" i="18"/>
  <c r="K106" i="26"/>
  <c r="K52" i="26"/>
  <c r="K51" i="26"/>
  <c r="K49" i="26"/>
  <c r="K45" i="26"/>
  <c r="K44" i="26"/>
  <c r="K36" i="26"/>
  <c r="K22" i="26"/>
  <c r="K23" i="26"/>
  <c r="K24" i="26"/>
  <c r="K25" i="26"/>
  <c r="K21" i="26"/>
  <c r="K19" i="26"/>
  <c r="K17" i="26"/>
  <c r="K41" i="26"/>
  <c r="K10" i="26"/>
  <c r="K11" i="26"/>
  <c r="K12" i="26"/>
  <c r="K13" i="26"/>
  <c r="K9" i="26"/>
  <c r="I21" i="18"/>
  <c r="I19" i="18"/>
  <c r="H10" i="26"/>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3" i="26"/>
  <c r="H63" i="26"/>
  <c r="K62" i="26"/>
  <c r="K66" i="26" s="1"/>
  <c r="K89" i="26" s="1"/>
  <c r="K109" i="26" s="1"/>
  <c r="H62" i="26"/>
  <c r="H64" i="26"/>
  <c r="I51" i="21"/>
  <c r="I53" i="21" s="1"/>
  <c r="H51" i="21"/>
  <c r="H53" i="21" s="1"/>
  <c r="H68" i="26" l="1"/>
  <c r="J67" i="26"/>
  <c r="V40" i="22"/>
  <c r="W40" i="22" s="1"/>
  <c r="I67" i="26"/>
  <c r="I68" i="26"/>
  <c r="J66" i="26"/>
  <c r="J89" i="26" s="1"/>
  <c r="J109" i="26" s="1"/>
  <c r="J68" i="26"/>
  <c r="K67" i="26"/>
  <c r="K68" i="26"/>
  <c r="H66" i="26"/>
  <c r="H67" i="26"/>
  <c r="I85" i="18"/>
  <c r="H85" i="18"/>
  <c r="H89" i="26" l="1"/>
  <c r="H109" i="26" s="1"/>
  <c r="V11" i="22"/>
  <c r="W11" i="22" s="1"/>
  <c r="I78" i="18"/>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U57" i="22" l="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05" i="18"/>
  <c r="I98" i="18"/>
  <c r="I94" i="18"/>
  <c r="I60" i="18"/>
  <c r="I53" i="18"/>
  <c r="I45" i="18"/>
  <c r="I38" i="18"/>
  <c r="I27" i="18"/>
  <c r="I17" i="18"/>
  <c r="I10" i="18"/>
  <c r="W57" i="22" l="1"/>
  <c r="Y57" i="22" s="1"/>
  <c r="U28" i="22"/>
  <c r="U30" i="22" s="1"/>
  <c r="I24" i="20"/>
  <c r="I27" i="20" s="1"/>
  <c r="I55" i="20"/>
  <c r="H72" i="18"/>
  <c r="I44" i="18"/>
  <c r="I75" i="18"/>
  <c r="Y63" i="22"/>
  <c r="W63" i="22"/>
  <c r="I9" i="18"/>
  <c r="I42" i="20"/>
  <c r="Y61" i="22"/>
  <c r="Y62" i="22" s="1"/>
  <c r="W61" i="22"/>
  <c r="W62" i="22" s="1"/>
  <c r="Y32" i="22"/>
  <c r="Y33" i="22" s="1"/>
  <c r="W32" i="22"/>
  <c r="W33" i="22" s="1"/>
  <c r="Y39" i="22"/>
  <c r="Y59" i="22" s="1"/>
  <c r="W39" i="22"/>
  <c r="W59" i="22" s="1"/>
  <c r="Y10" i="22"/>
  <c r="W10" i="22"/>
  <c r="V28" i="22" l="1"/>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<sst xmlns="http://schemas.openxmlformats.org/spreadsheetml/2006/main" count="536" uniqueCount="471">
  <si>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</si>
  <si>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</si>
  <si>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</si>
  <si>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</si>
  <si>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</si>
  <si>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</si>
  <si>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</si>
  <si>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</si>
  <si>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</si>
  <si>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</si>
  <si>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</si>
  <si>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</si>
  <si>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</si>
  <si>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</si>
  <si>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</si>
  <si>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</si>
  <si>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</si>
  <si>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</si>
  <si>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</si>
  <si>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</si>
  <si>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</si>
  <si>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</si>
  <si>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</si>
  <si>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</si>
  <si>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</si>
  <si>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</si>
  <si>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</si>
  <si>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</si>
  <si>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</si>
  <si>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</si>
  <si>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</si>
  <si>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</si>
  <si>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</si>
  <si>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</si>
  <si>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</si>
  <si>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</si>
  <si>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</si>
  <si>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</si>
  <si>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</si>
  <si>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</si>
  <si>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</si>
  <si>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</si>
  <si>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</si>
  <si>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</si>
  <si>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</si>
  <si>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</si>
  <si>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</si>
  <si>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</si>
  <si>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</si>
  <si>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</si>
  <si>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</si>
  <si>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</si>
  <si>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</si>
  <si>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</si>
  <si>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</si>
  <si>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</si>
  <si>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</si>
  <si>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</si>
  <si>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</si>
  <si>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</si>
  <si>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</si>
  <si>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</si>
  <si>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</si>
  <si>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</si>
  <si>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</si>
  <si>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</si>
  <si>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</si>
  <si>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</si>
  <si>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</si>
  <si>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</si>
  <si>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</si>
  <si>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</si>
  <si>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</si>
  <si>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</si>
  <si>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</si>
  <si>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</si>
  <si>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</si>
  <si>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</si>
  <si>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</si>
  <si>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</si>
  <si>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</si>
  <si>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</si>
  <si>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</si>
  <si>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</si>
  <si>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</si>
  <si>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</si>
  <si>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</si>
  <si>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</si>
  <si>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</si>
  <si>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</si>
  <si>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</si>
  <si>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</si>
  <si>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</si>
  <si>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</si>
  <si>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</si>
  <si>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</si>
  <si>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</si>
  <si>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</si>
  <si>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</si>
  <si>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</si>
  <si>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</si>
  <si>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</si>
  <si>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</si>
  <si>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</si>
  <si>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</si>
  <si>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</si>
  <si>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</si>
  <si>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</si>
  <si>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</si>
  <si>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</si>
  <si>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</si>
  <si>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</si>
  <si>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</si>
  <si>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</si>
  <si>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</si>
  <si>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</si>
  <si>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</si>
  <si>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</si>
  <si>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</si>
  <si>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</si>
  <si>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</si>
  <si>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</si>
  <si>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</si>
  <si>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</si>
  <si>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</si>
  <si>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</si>
  <si>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</si>
  <si>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</si>
  <si>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</si>
  <si>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</si>
  <si>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</si>
  <si>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</si>
  <si>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</si>
  <si>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</si>
  <si>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</si>
  <si>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</si>
  <si>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</si>
  <si>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</si>
  <si>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</si>
  <si>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</si>
  <si>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</si>
  <si>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</si>
  <si>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</si>
  <si>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</si>
  <si>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</si>
  <si>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</si>
  <si>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</si>
  <si>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</si>
  <si>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</si>
  <si>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</si>
  <si>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</si>
  <si>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</si>
  <si>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</si>
  <si>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</si>
  <si>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</si>
  <si>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</si>
  <si>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</si>
  <si>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</si>
  <si>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</si>
  <si>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</si>
  <si>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</si>
  <si>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</si>
  <si>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</si>
  <si>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</si>
  <si>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</si>
  <si>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</si>
  <si>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</si>
  <si>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</si>
  <si>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</si>
  <si>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</si>
  <si>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</si>
  <si>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</si>
  <si>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</si>
  <si>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</si>
  <si>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</si>
  <si>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</si>
  <si>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</si>
  <si>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</si>
  <si>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</si>
  <si>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</si>
  <si>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</si>
  <si>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</si>
  <si>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</si>
  <si>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</si>
  <si>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</si>
  <si>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</si>
  <si>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</si>
  <si>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</si>
  <si>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</si>
  <si>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</si>
  <si>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</si>
  <si>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</si>
  <si>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</si>
  <si>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</si>
  <si>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</si>
  <si>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</si>
  <si>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</si>
  <si>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</si>
  <si>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</si>
  <si>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</si>
  <si>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</si>
  <si>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</si>
  <si>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</si>
  <si>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</si>
  <si>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</si>
  <si>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</si>
  <si>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</si>
  <si>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</si>
  <si>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</si>
  <si>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</si>
  <si>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</si>
  <si>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</si>
  <si>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</si>
  <si>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</si>
  <si>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</si>
  <si>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</si>
  <si>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</si>
  <si>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</si>
  <si>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</si>
  <si>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</si>
  <si>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</si>
  <si>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</si>
  <si>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</si>
  <si>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</si>
  <si>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</si>
  <si>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</si>
  <si>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</si>
  <si>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</si>
  <si>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</si>
  <si>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</si>
  <si>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</si>
  <si>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</si>
  <si>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</si>
  <si>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</si>
  <si>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</si>
  <si>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</si>
  <si>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</si>
  <si>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</si>
  <si>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</si>
  <si>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</si>
  <si>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</si>
  <si>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</si>
  <si>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</si>
  <si>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</si>
  <si>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</si>
  <si>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</si>
  <si>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</si>
  <si>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</si>
  <si>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</si>
  <si>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</si>
  <si>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</si>
  <si>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</si>
  <si>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</si>
  <si>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</si>
  <si>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</si>
  <si>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</si>
  <si>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</si>
  <si>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</si>
  <si>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</si>
  <si>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</si>
  <si>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</si>
  <si>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</si>
  <si>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</si>
  <si>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</si>
  <si>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</si>
  <si>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</si>
  <si>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</si>
  <si>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</si>
  <si>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</si>
  <si>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</si>
  <si>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</si>
  <si>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</si>
  <si>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</si>
  <si>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</si>
  <si>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</si>
  <si>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</si>
  <si>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</si>
  <si>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</si>
  <si>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</si>
  <si>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</si>
  <si>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</si>
  <si>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</si>
  <si>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</si>
  <si>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</si>
  <si>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</si>
  <si>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</si>
  <si>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</si>
  <si>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</si>
  <si>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</si>
  <si>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</si>
  <si>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</si>
  <si>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</si>
  <si>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</si>
  <si>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</si>
  <si>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</si>
  <si>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</si>
  <si>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</si>
  <si>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</si>
  <si>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</si>
  <si>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</si>
  <si>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</si>
  <si>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</si>
  <si>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</si>
  <si>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</si>
  <si>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</si>
  <si>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</si>
  <si>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</si>
  <si>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</si>
  <si>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</si>
  <si>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</si>
  <si>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</si>
  <si>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</si>
  <si>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</si>
  <si>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</si>
  <si>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</si>
  <si>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</si>
  <si>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</si>
  <si>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</si>
  <si>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</si>
  <si>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</si>
  <si>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</si>
  <si>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</si>
  <si>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</si>
  <si>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</si>
  <si>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</si>
  <si>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</si>
  <si>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</si>
  <si>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</si>
  <si>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</si>
  <si>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</si>
  <si>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</si>
  <si>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</si>
  <si>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</si>
  <si>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</si>
  <si>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</si>
  <si>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</si>
  <si>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</si>
  <si>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</si>
  <si>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</si>
  <si>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</si>
  <si>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</si>
  <si>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</si>
  <si>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</si>
  <si>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</si>
  <si>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</si>
  <si>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</si>
  <si>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</si>
  <si>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</si>
  <si>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</si>
  <si>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</si>
  <si>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</si>
  <si>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</si>
  <si>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</si>
  <si>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</si>
  <si>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</si>
  <si>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</si>
  <si>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</si>
  <si>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</si>
  <si>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</si>
  <si>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</si>
  <si>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</si>
  <si>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</si>
  <si>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</si>
  <si>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</si>
  <si>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</si>
  <si>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</si>
  <si>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</si>
  <si>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</si>
  <si>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</si>
  <si>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</si>
  <si>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</si>
  <si>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</si>
  <si>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</si>
  <si>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</si>
  <si>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</si>
  <si>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</si>
  <si>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</si>
  <si>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</si>
  <si>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</si>
  <si>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</si>
  <si>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</si>
  <si>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</si>
  <si>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</si>
  <si>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</si>
  <si>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</si>
  <si>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</si>
  <si>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</si>
  <si>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</si>
  <si>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</si>
  <si>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</si>
  <si>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</si>
  <si>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</si>
  <si>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</si>
  <si>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</si>
  <si>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</si>
  <si>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</si>
  <si>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</si>
  <si>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</si>
  <si>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</si>
  <si>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</si>
  <si>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</si>
  <si>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</si>
  <si>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</si>
  <si>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</si>
  <si>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</si>
  <si>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</si>
  <si>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</si>
  <si>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</si>
  <si>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</si>
  <si>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</si>
  <si>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</si>
  <si>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</si>
  <si>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</si>
  <si>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</si>
  <si>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</si>
  <si>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</si>
  <si>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</si>
  <si>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</si>
  <si>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</si>
  <si>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</si>
  <si>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</si>
  <si>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</si>
  <si>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</si>
  <si>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</si>
  <si>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</si>
  <si>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</si>
  <si>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</si>
  <si>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</si>
  <si>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</si>
  <si>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</si>
  <si>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</si>
  <si>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</si>
  <si>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</si>
  <si>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</si>
  <si>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</si>
  <si>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</si>
  <si>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</si>
  <si>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</si>
  <si>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</si>
  <si>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</si>
  <si>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</si>
  <si>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</si>
  <si>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</si>
  <si>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</si>
  <si>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</si>
  <si>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</si>
  <si>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</si>
  <si>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</si>
  <si>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</si>
  <si>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</si>
  <si>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</si>
  <si>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</si>
  <si>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</si>
  <si>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</si>
  <si>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</si>
  <si>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</si>
  <si>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</si>
  <si>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</si>
  <si>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</si>
  <si>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</si>
  <si>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</si>
  <si>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</si>
  <si>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</si>
  <si>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Obveznik: CROATIA AIRLINES d.d.</t>
  </si>
  <si>
    <t>Obveznik:  CROATIA AIRLINES d.d.</t>
  </si>
  <si>
    <t>stanje na dan 31.3.2024</t>
  </si>
  <si>
    <t>u razdoblju 1.1.2024 do 31.3.2024</t>
  </si>
  <si>
    <t>u razdoblju 01.01.2024 do31.03.2024</t>
  </si>
  <si>
    <t>BDO CROATIA d.o.o.</t>
  </si>
  <si>
    <t>VEDRANA STIPIĆ</t>
  </si>
  <si>
    <t xml:space="preserve">BILJEŠKE UZ FINANCIJSKE IZVJEŠTAJE - TFI
(koji se sastavljaju za tromjesečna razdoblja)
Naziv izdavatelja:   CROATIA AIRLINES D.D.
OIB:   24640993045
Izvještajno razdoblje: 1.1.-31.3.2024.
U 2024. godini postoje dobri razlozi za optimizam u vezi s izgledima zrakoplovne industrije jer potražnja putnika pokazuje otpornost u suočavanju s geopolitičkim i gospodarskim neizvjesnostima. IATA projekcije predviđaju potpuni oporavak i dostizanje razine prometa iz 2019. godine, odnosno prije COVID-19 pandemije. 
Sukladno navedenome Croatia Airlines je u 2024. godini nastavio s povećanjem frekvencija i obnavljanjem pojedinih ruta te značajnim širenjem mreže međunarodnih letova iz Zagreba i Splita uvođenjem novih izravnih linija Zagreb – Tirana, Zagreb – Berlin, Zagreb – Stockholm i Split – Istanbul.
U prvom kvartalu 2024. zamjetan je rast ukupne razine prihoda u odnosu na prvi kvartal 2023. godine, a primjetna je i promjena strukture prihoda u smislu rasta putničkih prihoda čiji se udio povećao s 80 posto na 86 posto.
Uz višu ostvarenu razinu prihoda i troškova, na kraju prvog kvartala 2024. godine ostvaren je operativni gubitak u visini od 10,2 milijuna EUR koji s neto rezultatom financiranja daje neto gubitak od 9,9 milijuna EUR što je na razini ostvarenja u prvom kvartalu 2023. godine.
U prvom kvartalu 2024. godine intenzivno su se nastavile aktivnosti vezane za prihvat prva dva nova zrakoplova Airbus A220 u flotu, a sukladno „Post Covid“ strategiji Croatia Airlinesa. Prvi zrakoplov Airbus A220 u flotu nacionalnog zračnog prijevoznika ulazi u lipnju, drugi u studenom 2024. godine, a u 2027. godini Croatia Airlines trebao bi raspolagati s 15 novih zrakoplova Airbus A220.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</si>
</sst>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1" workbookViewId="0">
      <selection activeCell="C60" sqref="C60:J6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921</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468</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469</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49" zoomScaleNormal="100" zoomScaleSheetLayoutView="110" workbookViewId="0">
      <selection activeCell="K31" sqref="K3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465</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114315630</v>
      </c>
      <c r="I9" s="120">
        <f>I10+I17+I27+I38+I43</f>
        <v>115197591</v>
      </c>
    </row>
    <row r="10" spans="1:9" ht="12.75" customHeight="1" x14ac:dyDescent="0.2">
      <c r="A10" s="183" t="s">
        <v>5</v>
      </c>
      <c r="B10" s="183"/>
      <c r="C10" s="183"/>
      <c r="D10" s="183"/>
      <c r="E10" s="183"/>
      <c r="F10" s="183"/>
      <c r="G10" s="12">
        <v>3</v>
      </c>
      <c r="H10" s="120">
        <f>H11+H12+H13+H14+H15+H16</f>
        <v>776679</v>
      </c>
      <c r="I10" s="120">
        <f>I11+I12+I13+I14+I15+I16</f>
        <v>947032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399359</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518096</v>
      </c>
    </row>
    <row r="16" spans="1:9" ht="12.75" customHeight="1" x14ac:dyDescent="0.2">
      <c r="A16" s="182" t="s">
        <v>11</v>
      </c>
      <c r="B16" s="182"/>
      <c r="C16" s="182"/>
      <c r="D16" s="182"/>
      <c r="E16" s="182"/>
      <c r="F16" s="182"/>
      <c r="G16" s="11">
        <v>9</v>
      </c>
      <c r="H16" s="18">
        <f>45707</f>
        <v>45707</v>
      </c>
      <c r="I16" s="18">
        <v>29577</v>
      </c>
    </row>
    <row r="17" spans="1:9" ht="12.75" customHeight="1" x14ac:dyDescent="0.2">
      <c r="A17" s="183" t="s">
        <v>12</v>
      </c>
      <c r="B17" s="183"/>
      <c r="C17" s="183"/>
      <c r="D17" s="183"/>
      <c r="E17" s="183"/>
      <c r="F17" s="183"/>
      <c r="G17" s="12">
        <v>10</v>
      </c>
      <c r="H17" s="120">
        <f>H18+H19+H20+H21+H22+H23+H24+H25+H26</f>
        <v>54844182</v>
      </c>
      <c r="I17" s="120">
        <f>I18+I19+I20+I21+I22+I23+I24+I25+I26</f>
        <v>51871257</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3389810</v>
      </c>
      <c r="I19" s="18">
        <f>1764502+1301996</f>
        <v>3066498</v>
      </c>
    </row>
    <row r="20" spans="1:9" ht="12.75" customHeight="1" x14ac:dyDescent="0.2">
      <c r="A20" s="182" t="s">
        <v>15</v>
      </c>
      <c r="B20" s="182"/>
      <c r="C20" s="182"/>
      <c r="D20" s="182"/>
      <c r="E20" s="182"/>
      <c r="F20" s="182"/>
      <c r="G20" s="11">
        <v>13</v>
      </c>
      <c r="H20" s="18">
        <v>6457071</v>
      </c>
      <c r="I20" s="18">
        <v>7344127</v>
      </c>
    </row>
    <row r="21" spans="1:9" ht="12.75" customHeight="1" x14ac:dyDescent="0.2">
      <c r="A21" s="182" t="s">
        <v>16</v>
      </c>
      <c r="B21" s="182"/>
      <c r="C21" s="182"/>
      <c r="D21" s="182"/>
      <c r="E21" s="182"/>
      <c r="F21" s="182"/>
      <c r="G21" s="11">
        <v>14</v>
      </c>
      <c r="H21" s="18">
        <v>37412604</v>
      </c>
      <c r="I21" s="18">
        <f>128802+33716739+106951</f>
        <v>33952492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2378519</v>
      </c>
    </row>
    <row r="24" spans="1:9" ht="12.75" customHeight="1" x14ac:dyDescent="0.2">
      <c r="A24" s="182" t="s">
        <v>19</v>
      </c>
      <c r="B24" s="182"/>
      <c r="C24" s="182"/>
      <c r="D24" s="182"/>
      <c r="E24" s="182"/>
      <c r="F24" s="182"/>
      <c r="G24" s="11">
        <v>17</v>
      </c>
      <c r="H24" s="18">
        <v>43161</v>
      </c>
      <c r="I24" s="18">
        <v>63885</v>
      </c>
    </row>
    <row r="25" spans="1:9" ht="12.75" customHeight="1" x14ac:dyDescent="0.2">
      <c r="A25" s="182" t="s">
        <v>20</v>
      </c>
      <c r="B25" s="182"/>
      <c r="C25" s="182"/>
      <c r="D25" s="182"/>
      <c r="E25" s="182"/>
      <c r="F25" s="182"/>
      <c r="G25" s="11">
        <v>18</v>
      </c>
      <c r="H25" s="18">
        <v>2592803</v>
      </c>
      <c r="I25" s="18">
        <v>2444077</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12512112</v>
      </c>
      <c r="I27" s="120">
        <f>SUM(I28:I37)</f>
        <v>12803699</v>
      </c>
    </row>
    <row r="28" spans="1:9" ht="12.75" customHeight="1" x14ac:dyDescent="0.2">
      <c r="A28" s="182" t="s">
        <v>23</v>
      </c>
      <c r="B28" s="182"/>
      <c r="C28" s="182"/>
      <c r="D28" s="182"/>
      <c r="E28" s="182"/>
      <c r="F28" s="182"/>
      <c r="G28" s="11">
        <v>21</v>
      </c>
      <c r="H28" s="18">
        <v>346460</v>
      </c>
      <c r="I28" s="18">
        <v>346460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12140652</v>
      </c>
      <c r="I35" s="18">
        <v>12432239</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46182657</v>
      </c>
      <c r="I38" s="120">
        <f>I39+I40+I41+I42</f>
        <v>49575603</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49575603</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110566158</v>
      </c>
      <c r="I44" s="120">
        <f>I45+I53+I60+I70</f>
        <v>118152366</v>
      </c>
    </row>
    <row r="45" spans="1:9" ht="12.75" customHeight="1" x14ac:dyDescent="0.2">
      <c r="A45" s="183" t="s">
        <v>39</v>
      </c>
      <c r="B45" s="183"/>
      <c r="C45" s="183"/>
      <c r="D45" s="183"/>
      <c r="E45" s="183"/>
      <c r="F45" s="183"/>
      <c r="G45" s="12">
        <v>38</v>
      </c>
      <c r="H45" s="120">
        <f>SUM(H46:H52)</f>
        <v>9891526</v>
      </c>
      <c r="I45" s="120">
        <f>SUM(I46:I52)</f>
        <v>10213797</v>
      </c>
    </row>
    <row r="46" spans="1:9" ht="12.75" customHeight="1" x14ac:dyDescent="0.2">
      <c r="A46" s="182" t="s">
        <v>40</v>
      </c>
      <c r="B46" s="182"/>
      <c r="C46" s="182"/>
      <c r="D46" s="182"/>
      <c r="E46" s="182"/>
      <c r="F46" s="182"/>
      <c r="G46" s="11">
        <v>39</v>
      </c>
      <c r="H46" s="18">
        <v>9602050</v>
      </c>
      <c r="I46" s="18">
        <v>10213797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289476</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17659011</v>
      </c>
      <c r="I53" s="120">
        <f>SUM(I54:I59)</f>
        <v>27283198</v>
      </c>
    </row>
    <row r="54" spans="1:9" ht="12.75" customHeight="1" x14ac:dyDescent="0.2">
      <c r="A54" s="182" t="s">
        <v>48</v>
      </c>
      <c r="B54" s="182"/>
      <c r="C54" s="182"/>
      <c r="D54" s="182"/>
      <c r="E54" s="182"/>
      <c r="F54" s="182"/>
      <c r="G54" s="11">
        <v>47</v>
      </c>
      <c r="H54" s="18">
        <v>1847</v>
      </c>
      <c r="I54" s="18">
        <v>4035</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14571242</v>
      </c>
      <c r="I56" s="18">
        <v>23991265</v>
      </c>
    </row>
    <row r="57" spans="1:9" ht="12.75" customHeight="1" x14ac:dyDescent="0.2">
      <c r="A57" s="182" t="s">
        <v>51</v>
      </c>
      <c r="B57" s="182"/>
      <c r="C57" s="182"/>
      <c r="D57" s="182"/>
      <c r="E57" s="182"/>
      <c r="F57" s="182"/>
      <c r="G57" s="11">
        <v>50</v>
      </c>
      <c r="H57" s="18">
        <f>12490+1</f>
        <v>12491</v>
      </c>
      <c r="I57" s="18">
        <v>33604</v>
      </c>
    </row>
    <row r="58" spans="1:9" ht="12.75" customHeight="1" x14ac:dyDescent="0.2">
      <c r="A58" s="182" t="s">
        <v>52</v>
      </c>
      <c r="B58" s="182"/>
      <c r="C58" s="182"/>
      <c r="D58" s="182"/>
      <c r="E58" s="182"/>
      <c r="F58" s="182"/>
      <c r="G58" s="11">
        <v>51</v>
      </c>
      <c r="H58" s="18">
        <v>1571164</v>
      </c>
      <c r="I58" s="18">
        <v>1571301</v>
      </c>
    </row>
    <row r="59" spans="1:9" ht="12.75" customHeight="1" x14ac:dyDescent="0.2">
      <c r="A59" s="182" t="s">
        <v>53</v>
      </c>
      <c r="B59" s="182"/>
      <c r="C59" s="182"/>
      <c r="D59" s="182"/>
      <c r="E59" s="182"/>
      <c r="F59" s="182"/>
      <c r="G59" s="11">
        <v>52</v>
      </c>
      <c r="H59" s="18">
        <v>1502267</v>
      </c>
      <c r="I59" s="18">
        <v>1682993</v>
      </c>
    </row>
    <row r="60" spans="1:9" ht="12.75" customHeight="1" x14ac:dyDescent="0.2">
      <c r="A60" s="183" t="s">
        <v>54</v>
      </c>
      <c r="B60" s="183"/>
      <c r="C60" s="183"/>
      <c r="D60" s="183"/>
      <c r="E60" s="183"/>
      <c r="F60" s="183"/>
      <c r="G60" s="12">
        <v>53</v>
      </c>
      <c r="H60" s="120">
        <f>SUM(H61:H69)</f>
        <v>3896084</v>
      </c>
      <c r="I60" s="120">
        <f>SUM(I61:I69)</f>
        <v>4888388</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250000</v>
      </c>
      <c r="I63" s="18">
        <v>175000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3646059</v>
      </c>
      <c r="I68" s="18">
        <v>4713363</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79119537</v>
      </c>
      <c r="I70" s="18">
        <v>75766983</v>
      </c>
    </row>
    <row r="71" spans="1:9" ht="12.75" customHeight="1" x14ac:dyDescent="0.2">
      <c r="A71" s="198" t="s">
        <v>58</v>
      </c>
      <c r="B71" s="198"/>
      <c r="C71" s="198"/>
      <c r="D71" s="198"/>
      <c r="E71" s="198"/>
      <c r="F71" s="198"/>
      <c r="G71" s="11">
        <v>64</v>
      </c>
      <c r="H71" s="18">
        <v>1810709</v>
      </c>
      <c r="I71" s="18">
        <v>7028803</v>
      </c>
    </row>
    <row r="72" spans="1:9" ht="12.75" customHeight="1" x14ac:dyDescent="0.2">
      <c r="A72" s="184" t="s">
        <v>304</v>
      </c>
      <c r="B72" s="184"/>
      <c r="C72" s="184"/>
      <c r="D72" s="184"/>
      <c r="E72" s="184"/>
      <c r="F72" s="184"/>
      <c r="G72" s="12">
        <v>65</v>
      </c>
      <c r="H72" s="120">
        <f>H8+H9+H44+H71</f>
        <v>226692497</v>
      </c>
      <c r="I72" s="120">
        <f>I8+I9+I44+I71</f>
        <v>240378760</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14479705</v>
      </c>
      <c r="I75" s="121">
        <f>I76+I77+I78+I84+I85+I91+I94+I97</f>
        <v>4491936</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0</v>
      </c>
      <c r="I78" s="121">
        <f>SUM(I79:I83)</f>
        <v>0</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412184</v>
      </c>
      <c r="I84" s="47">
        <v>412184</v>
      </c>
    </row>
    <row r="85" spans="1:9" ht="12.75" customHeight="1" x14ac:dyDescent="0.2">
      <c r="A85" s="183" t="s">
        <v>446</v>
      </c>
      <c r="B85" s="183"/>
      <c r="C85" s="183"/>
      <c r="D85" s="183"/>
      <c r="E85" s="183"/>
      <c r="F85" s="183"/>
      <c r="G85" s="12">
        <v>77</v>
      </c>
      <c r="H85" s="120">
        <f>H86+H87+H88+H89+H90</f>
        <v>63476</v>
      </c>
      <c r="I85" s="120">
        <f>I86+I87+I88+I89+I90</f>
        <v>0</v>
      </c>
    </row>
    <row r="86" spans="1:9" ht="25.5" customHeight="1" x14ac:dyDescent="0.2">
      <c r="A86" s="182" t="s">
        <v>447</v>
      </c>
      <c r="B86" s="182"/>
      <c r="C86" s="182"/>
      <c r="D86" s="182"/>
      <c r="E86" s="182"/>
      <c r="F86" s="182"/>
      <c r="G86" s="11">
        <v>78</v>
      </c>
      <c r="H86" s="18">
        <v>63476</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-80636035</v>
      </c>
      <c r="I91" s="120">
        <f>I92-I93</f>
        <v>-78383908</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80636035</v>
      </c>
      <c r="I93" s="18">
        <f>80636035-2252127</f>
        <v>78383908</v>
      </c>
    </row>
    <row r="94" spans="1:9" ht="12.75" customHeight="1" x14ac:dyDescent="0.2">
      <c r="A94" s="183" t="s">
        <v>353</v>
      </c>
      <c r="B94" s="183"/>
      <c r="C94" s="183"/>
      <c r="D94" s="183"/>
      <c r="E94" s="183"/>
      <c r="F94" s="183"/>
      <c r="G94" s="12">
        <v>86</v>
      </c>
      <c r="H94" s="120">
        <f>H95-H96</f>
        <v>2252127</v>
      </c>
      <c r="I94" s="120">
        <f>I95-I96</f>
        <v>-9924293</v>
      </c>
    </row>
    <row r="95" spans="1:9" ht="12.75" customHeight="1" x14ac:dyDescent="0.2">
      <c r="A95" s="182" t="s">
        <v>74</v>
      </c>
      <c r="B95" s="182"/>
      <c r="C95" s="182"/>
      <c r="D95" s="182"/>
      <c r="E95" s="182"/>
      <c r="F95" s="182"/>
      <c r="G95" s="11">
        <v>87</v>
      </c>
      <c r="H95" s="18">
        <v>2252127</v>
      </c>
      <c r="I95" s="18">
        <v>0</v>
      </c>
    </row>
    <row r="96" spans="1:9" ht="12.75" customHeight="1" x14ac:dyDescent="0.2">
      <c r="A96" s="182" t="s">
        <v>75</v>
      </c>
      <c r="B96" s="182"/>
      <c r="C96" s="182"/>
      <c r="D96" s="182"/>
      <c r="E96" s="182"/>
      <c r="F96" s="182"/>
      <c r="G96" s="11">
        <v>88</v>
      </c>
      <c r="H96" s="18">
        <v>0</v>
      </c>
      <c r="I96" s="18">
        <v>9924293</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46831759</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45132047</v>
      </c>
    </row>
    <row r="105" spans="1:9" ht="12.75" customHeight="1" x14ac:dyDescent="0.2">
      <c r="A105" s="184" t="s">
        <v>356</v>
      </c>
      <c r="B105" s="184"/>
      <c r="C105" s="184"/>
      <c r="D105" s="184"/>
      <c r="E105" s="184"/>
      <c r="F105" s="184"/>
      <c r="G105" s="12">
        <v>97</v>
      </c>
      <c r="H105" s="120">
        <f>SUM(H106:H116)</f>
        <v>107509303</v>
      </c>
      <c r="I105" s="120">
        <f>SUM(I106:I116)</f>
        <v>103642210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81653738</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24963780</v>
      </c>
      <c r="I111" s="18">
        <v>21140600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884532</v>
      </c>
      <c r="I115" s="18">
        <v>840619</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57245458</v>
      </c>
      <c r="I117" s="120">
        <f>SUM(I118:I131)</f>
        <v>81104084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1714768</v>
      </c>
      <c r="I122" s="18">
        <v>2413909</v>
      </c>
    </row>
    <row r="123" spans="1:9" ht="12.75" customHeight="1" x14ac:dyDescent="0.2">
      <c r="A123" s="182" t="s">
        <v>88</v>
      </c>
      <c r="B123" s="182"/>
      <c r="C123" s="182"/>
      <c r="D123" s="182"/>
      <c r="E123" s="182"/>
      <c r="F123" s="182"/>
      <c r="G123" s="11">
        <v>115</v>
      </c>
      <c r="H123" s="18">
        <v>11911346</v>
      </c>
      <c r="I123" s="18">
        <v>12969598</v>
      </c>
    </row>
    <row r="124" spans="1:9" ht="12.75" customHeight="1" x14ac:dyDescent="0.2">
      <c r="A124" s="182" t="s">
        <v>89</v>
      </c>
      <c r="B124" s="182"/>
      <c r="C124" s="182"/>
      <c r="D124" s="182"/>
      <c r="E124" s="182"/>
      <c r="F124" s="182"/>
      <c r="G124" s="11">
        <v>116</v>
      </c>
      <c r="H124" s="18">
        <v>289743</v>
      </c>
      <c r="I124" s="18">
        <v>551091</v>
      </c>
    </row>
    <row r="125" spans="1:9" ht="12.75" customHeight="1" x14ac:dyDescent="0.2">
      <c r="A125" s="182" t="s">
        <v>90</v>
      </c>
      <c r="B125" s="182"/>
      <c r="C125" s="182"/>
      <c r="D125" s="182"/>
      <c r="E125" s="182"/>
      <c r="F125" s="182"/>
      <c r="G125" s="11">
        <v>117</v>
      </c>
      <c r="H125" s="18">
        <v>17101557</v>
      </c>
      <c r="I125" s="18">
        <v>18995293</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1715695</v>
      </c>
      <c r="I127" s="18">
        <v>1882585</v>
      </c>
    </row>
    <row r="128" spans="1:9" x14ac:dyDescent="0.2">
      <c r="A128" s="182" t="s">
        <v>95</v>
      </c>
      <c r="B128" s="182"/>
      <c r="C128" s="182"/>
      <c r="D128" s="182"/>
      <c r="E128" s="182"/>
      <c r="F128" s="182"/>
      <c r="G128" s="11">
        <v>120</v>
      </c>
      <c r="H128" s="18">
        <v>1521362</v>
      </c>
      <c r="I128" s="18">
        <v>1752669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22990987</v>
      </c>
      <c r="I131" s="18">
        <f>42020899+518040</f>
        <v>42538939</v>
      </c>
    </row>
    <row r="132" spans="1:9" ht="22.15" customHeight="1" x14ac:dyDescent="0.2">
      <c r="A132" s="198" t="s">
        <v>99</v>
      </c>
      <c r="B132" s="198"/>
      <c r="C132" s="198"/>
      <c r="D132" s="198"/>
      <c r="E132" s="198"/>
      <c r="F132" s="198"/>
      <c r="G132" s="11">
        <v>124</v>
      </c>
      <c r="H132" s="18">
        <v>3794934</v>
      </c>
      <c r="I132" s="18">
        <v>4308771</v>
      </c>
    </row>
    <row r="133" spans="1:9" ht="12.75" customHeight="1" x14ac:dyDescent="0.2">
      <c r="A133" s="184" t="s">
        <v>358</v>
      </c>
      <c r="B133" s="184"/>
      <c r="C133" s="184"/>
      <c r="D133" s="184"/>
      <c r="E133" s="184"/>
      <c r="F133" s="184"/>
      <c r="G133" s="12">
        <v>125</v>
      </c>
      <c r="H133" s="120">
        <f>H75+H98+H105+H117+H132</f>
        <v>226692497</v>
      </c>
      <c r="I133" s="120">
        <f>I75+I98+I105+I117+I132</f>
        <v>240378760</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3" zoomScale="85" zoomScaleNormal="85" zoomScaleSheetLayoutView="110" workbookViewId="0">
      <selection activeCell="J61" sqref="J6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466</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464</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39994753</v>
      </c>
      <c r="I8" s="52">
        <f>SUM(I9:I13)</f>
        <v>39994753</v>
      </c>
      <c r="J8" s="52">
        <f>SUM(J9:J13)</f>
        <v>44211170</v>
      </c>
      <c r="K8" s="52">
        <f>SUM(K9:K13)</f>
        <v>44211170</v>
      </c>
    </row>
    <row r="9" spans="1:11" ht="12.75" customHeight="1" x14ac:dyDescent="0.2">
      <c r="A9" s="182" t="s">
        <v>115</v>
      </c>
      <c r="B9" s="182"/>
      <c r="C9" s="182"/>
      <c r="D9" s="182"/>
      <c r="E9" s="182"/>
      <c r="F9" s="182"/>
      <c r="G9" s="11">
        <v>2</v>
      </c>
      <c r="H9" s="53">
        <v>5947</v>
      </c>
      <c r="I9" s="53">
        <v>5947</v>
      </c>
      <c r="J9" s="53">
        <v>5721</v>
      </c>
      <c r="K9" s="53">
        <f>+J9</f>
        <v>5721</v>
      </c>
    </row>
    <row r="10" spans="1:11" ht="12.75" customHeight="1" x14ac:dyDescent="0.2">
      <c r="A10" s="182" t="s">
        <v>116</v>
      </c>
      <c r="B10" s="182"/>
      <c r="C10" s="182"/>
      <c r="D10" s="182"/>
      <c r="E10" s="182"/>
      <c r="F10" s="182"/>
      <c r="G10" s="11">
        <v>3</v>
      </c>
      <c r="H10" s="53">
        <f>35467106+2785</f>
        <v>35469891</v>
      </c>
      <c r="I10" s="53">
        <v>35469891</v>
      </c>
      <c r="J10" s="53">
        <v>39937239</v>
      </c>
      <c r="K10" s="53">
        <f t="shared" ref="K10:K13" si="0">+J10</f>
        <v>39937239</v>
      </c>
    </row>
    <row r="11" spans="1:11" ht="12.75" customHeight="1" x14ac:dyDescent="0.2">
      <c r="A11" s="182" t="s">
        <v>117</v>
      </c>
      <c r="B11" s="182"/>
      <c r="C11" s="182"/>
      <c r="D11" s="182"/>
      <c r="E11" s="182"/>
      <c r="F11" s="182"/>
      <c r="G11" s="11">
        <v>4</v>
      </c>
      <c r="H11" s="53">
        <v>0</v>
      </c>
      <c r="I11" s="53">
        <v>0</v>
      </c>
      <c r="J11" s="53">
        <v>0</v>
      </c>
      <c r="K11" s="53">
        <f t="shared" si="0"/>
        <v>0</v>
      </c>
    </row>
    <row r="12" spans="1:11" ht="12.75" customHeight="1" x14ac:dyDescent="0.2">
      <c r="A12" s="182" t="s">
        <v>118</v>
      </c>
      <c r="B12" s="182"/>
      <c r="C12" s="182"/>
      <c r="D12" s="182"/>
      <c r="E12" s="182"/>
      <c r="F12" s="182"/>
      <c r="G12" s="11">
        <v>5</v>
      </c>
      <c r="H12" s="53">
        <v>0</v>
      </c>
      <c r="I12" s="53">
        <v>0</v>
      </c>
      <c r="J12" s="53">
        <v>0</v>
      </c>
      <c r="K12" s="53">
        <f t="shared" si="0"/>
        <v>0</v>
      </c>
    </row>
    <row r="13" spans="1:11" ht="12.75" customHeight="1" x14ac:dyDescent="0.2">
      <c r="A13" s="182" t="s">
        <v>119</v>
      </c>
      <c r="B13" s="182"/>
      <c r="C13" s="182"/>
      <c r="D13" s="182"/>
      <c r="E13" s="182"/>
      <c r="F13" s="182"/>
      <c r="G13" s="11">
        <v>6</v>
      </c>
      <c r="H13" s="53">
        <v>4518915</v>
      </c>
      <c r="I13" s="53">
        <v>4518915</v>
      </c>
      <c r="J13" s="53">
        <v>4268210</v>
      </c>
      <c r="K13" s="53">
        <f t="shared" si="0"/>
        <v>4268210</v>
      </c>
    </row>
    <row r="14" spans="1:11" ht="12.75" customHeight="1" x14ac:dyDescent="0.2">
      <c r="A14" s="216" t="s">
        <v>360</v>
      </c>
      <c r="B14" s="216"/>
      <c r="C14" s="216"/>
      <c r="D14" s="216"/>
      <c r="E14" s="216"/>
      <c r="F14" s="216"/>
      <c r="G14" s="12">
        <v>7</v>
      </c>
      <c r="H14" s="52">
        <f>H15+H16+H20+H24+H25+H26+H29+H36</f>
        <v>49296767</v>
      </c>
      <c r="I14" s="52">
        <f>I15+I16+I20+I24+I25+I26+I29+I36</f>
        <v>49296767</v>
      </c>
      <c r="J14" s="52">
        <f>J15+J16+J20+J24+J25+J26+J29+J36</f>
        <v>54371683</v>
      </c>
      <c r="K14" s="52">
        <f>K15+K16+K20+K24+K25+K26+K29+K36</f>
        <v>54371683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33500354</v>
      </c>
      <c r="I16" s="52">
        <f>SUM(I17:I19)</f>
        <v>33500354</v>
      </c>
      <c r="J16" s="52">
        <f>SUM(J17:J19)</f>
        <v>37453378</v>
      </c>
      <c r="K16" s="52">
        <f>SUM(K17:K19)</f>
        <v>37453378</v>
      </c>
    </row>
    <row r="17" spans="1:11" ht="12.75" customHeight="1" x14ac:dyDescent="0.2">
      <c r="A17" s="217" t="s">
        <v>120</v>
      </c>
      <c r="B17" s="217"/>
      <c r="C17" s="217"/>
      <c r="D17" s="217"/>
      <c r="E17" s="217"/>
      <c r="F17" s="217"/>
      <c r="G17" s="11">
        <v>10</v>
      </c>
      <c r="H17" s="53">
        <v>10576526</v>
      </c>
      <c r="I17" s="53">
        <v>10576526</v>
      </c>
      <c r="J17" s="53">
        <v>10752910</v>
      </c>
      <c r="K17" s="53">
        <f>+J17</f>
        <v>10752910</v>
      </c>
    </row>
    <row r="18" spans="1:11" ht="12.75" customHeight="1" x14ac:dyDescent="0.2">
      <c r="A18" s="217" t="s">
        <v>121</v>
      </c>
      <c r="B18" s="217"/>
      <c r="C18" s="217"/>
      <c r="D18" s="217"/>
      <c r="E18" s="217"/>
      <c r="F18" s="217"/>
      <c r="G18" s="11">
        <v>11</v>
      </c>
      <c r="H18" s="53">
        <v>0</v>
      </c>
      <c r="I18" s="53">
        <v>0</v>
      </c>
      <c r="J18" s="53">
        <v>0</v>
      </c>
      <c r="K18" s="53">
        <v>0</v>
      </c>
    </row>
    <row r="19" spans="1:11" ht="12.75" customHeight="1" x14ac:dyDescent="0.2">
      <c r="A19" s="217" t="s">
        <v>122</v>
      </c>
      <c r="B19" s="217"/>
      <c r="C19" s="217"/>
      <c r="D19" s="217"/>
      <c r="E19" s="217"/>
      <c r="F19" s="217"/>
      <c r="G19" s="11">
        <v>12</v>
      </c>
      <c r="H19" s="53">
        <v>22923828</v>
      </c>
      <c r="I19" s="53">
        <v>22923828</v>
      </c>
      <c r="J19" s="53">
        <v>26700468</v>
      </c>
      <c r="K19" s="53">
        <f>+J19</f>
        <v>26700468</v>
      </c>
    </row>
    <row r="20" spans="1:11" ht="12.75" customHeight="1" x14ac:dyDescent="0.2">
      <c r="A20" s="183" t="s">
        <v>441</v>
      </c>
      <c r="B20" s="183"/>
      <c r="C20" s="183"/>
      <c r="D20" s="183"/>
      <c r="E20" s="183"/>
      <c r="F20" s="183"/>
      <c r="G20" s="12">
        <v>13</v>
      </c>
      <c r="H20" s="52">
        <f>SUM(H21:H23)</f>
        <v>7819640</v>
      </c>
      <c r="I20" s="52">
        <f>SUM(I21:I23)</f>
        <v>7819640</v>
      </c>
      <c r="J20" s="52">
        <f>SUM(J21:J23)</f>
        <v>9230784</v>
      </c>
      <c r="K20" s="52">
        <f>SUM(K21:K23)</f>
        <v>9230784</v>
      </c>
    </row>
    <row r="21" spans="1:11" ht="12.75" customHeight="1" x14ac:dyDescent="0.2">
      <c r="A21" s="217" t="s">
        <v>105</v>
      </c>
      <c r="B21" s="217"/>
      <c r="C21" s="217"/>
      <c r="D21" s="217"/>
      <c r="E21" s="217"/>
      <c r="F21" s="217"/>
      <c r="G21" s="11">
        <v>14</v>
      </c>
      <c r="H21" s="53">
        <v>4475013</v>
      </c>
      <c r="I21" s="53">
        <v>4475013</v>
      </c>
      <c r="J21" s="53">
        <v>5177785</v>
      </c>
      <c r="K21" s="53">
        <f>+J21</f>
        <v>5177785</v>
      </c>
    </row>
    <row r="22" spans="1:11" ht="12.75" customHeight="1" x14ac:dyDescent="0.2">
      <c r="A22" s="217" t="s">
        <v>106</v>
      </c>
      <c r="B22" s="217"/>
      <c r="C22" s="217"/>
      <c r="D22" s="217"/>
      <c r="E22" s="217"/>
      <c r="F22" s="217"/>
      <c r="G22" s="11">
        <v>15</v>
      </c>
      <c r="H22" s="53">
        <v>1955881</v>
      </c>
      <c r="I22" s="53">
        <v>1955881</v>
      </c>
      <c r="J22" s="53">
        <v>2365991</v>
      </c>
      <c r="K22" s="53">
        <f t="shared" ref="K22:K25" si="1">+J22</f>
        <v>2365991</v>
      </c>
    </row>
    <row r="23" spans="1:11" ht="12.75" customHeight="1" x14ac:dyDescent="0.2">
      <c r="A23" s="217" t="s">
        <v>107</v>
      </c>
      <c r="B23" s="217"/>
      <c r="C23" s="217"/>
      <c r="D23" s="217"/>
      <c r="E23" s="217"/>
      <c r="F23" s="217"/>
      <c r="G23" s="11">
        <v>16</v>
      </c>
      <c r="H23" s="53">
        <v>1388746</v>
      </c>
      <c r="I23" s="53">
        <v>1388746</v>
      </c>
      <c r="J23" s="53">
        <v>1687008</v>
      </c>
      <c r="K23" s="53">
        <f t="shared" si="1"/>
        <v>1687008</v>
      </c>
    </row>
    <row r="24" spans="1:11" ht="12.75" customHeight="1" x14ac:dyDescent="0.2">
      <c r="A24" s="182" t="s">
        <v>108</v>
      </c>
      <c r="B24" s="182"/>
      <c r="C24" s="182"/>
      <c r="D24" s="182"/>
      <c r="E24" s="182"/>
      <c r="F24" s="182"/>
      <c r="G24" s="11">
        <v>17</v>
      </c>
      <c r="H24" s="53">
        <v>4807600</v>
      </c>
      <c r="I24" s="53">
        <v>4807600</v>
      </c>
      <c r="J24" s="53">
        <v>4685810</v>
      </c>
      <c r="K24" s="53">
        <f t="shared" si="1"/>
        <v>4685810</v>
      </c>
    </row>
    <row r="25" spans="1:11" ht="12.75" customHeight="1" x14ac:dyDescent="0.2">
      <c r="A25" s="182" t="s">
        <v>109</v>
      </c>
      <c r="B25" s="182"/>
      <c r="C25" s="182"/>
      <c r="D25" s="182"/>
      <c r="E25" s="182"/>
      <c r="F25" s="182"/>
      <c r="G25" s="11">
        <v>18</v>
      </c>
      <c r="H25" s="53">
        <v>2178979</v>
      </c>
      <c r="I25" s="53">
        <v>2178979</v>
      </c>
      <c r="J25" s="53">
        <v>2835214</v>
      </c>
      <c r="K25" s="53">
        <f t="shared" si="1"/>
        <v>2835214</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990194</v>
      </c>
      <c r="I36" s="53">
        <v>990194</v>
      </c>
      <c r="J36" s="53">
        <v>166497</v>
      </c>
      <c r="K36" s="53">
        <f>+J36</f>
        <v>166497</v>
      </c>
    </row>
    <row r="37" spans="1:11" ht="12.75" customHeight="1" x14ac:dyDescent="0.2">
      <c r="A37" s="216" t="s">
        <v>361</v>
      </c>
      <c r="B37" s="216"/>
      <c r="C37" s="216"/>
      <c r="D37" s="216"/>
      <c r="E37" s="216"/>
      <c r="F37" s="216"/>
      <c r="G37" s="12">
        <v>30</v>
      </c>
      <c r="H37" s="52">
        <f>SUM(H38:H47)</f>
        <v>3857268</v>
      </c>
      <c r="I37" s="52">
        <f>SUM(I38:I47)</f>
        <v>3857268</v>
      </c>
      <c r="J37" s="52">
        <f>SUM(J38:J47)</f>
        <v>4132908</v>
      </c>
      <c r="K37" s="52">
        <f>SUM(K38:K47)</f>
        <v>4132908</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1823</v>
      </c>
      <c r="K41" s="53">
        <f>+J41</f>
        <v>1823</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148817</v>
      </c>
      <c r="I44" s="53">
        <v>148817</v>
      </c>
      <c r="J44" s="53">
        <v>648914</v>
      </c>
      <c r="K44" s="53">
        <f>+J44</f>
        <v>648914</v>
      </c>
    </row>
    <row r="45" spans="1:11" ht="12.75" customHeight="1" x14ac:dyDescent="0.2">
      <c r="A45" s="182" t="s">
        <v>138</v>
      </c>
      <c r="B45" s="182"/>
      <c r="C45" s="182"/>
      <c r="D45" s="182"/>
      <c r="E45" s="182"/>
      <c r="F45" s="182"/>
      <c r="G45" s="11">
        <v>38</v>
      </c>
      <c r="H45" s="53">
        <v>3708451</v>
      </c>
      <c r="I45" s="53">
        <v>3708451</v>
      </c>
      <c r="J45" s="53">
        <v>3482171</v>
      </c>
      <c r="K45" s="53">
        <f>+J45</f>
        <v>3482171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4511629</v>
      </c>
      <c r="I48" s="52">
        <f>SUM(I49:I55)</f>
        <v>4511629</v>
      </c>
      <c r="J48" s="52">
        <f>SUM(J49:J55)</f>
        <v>3896688</v>
      </c>
      <c r="K48" s="52">
        <f>SUM(K49:K55)</f>
        <v>3896688</v>
      </c>
    </row>
    <row r="49" spans="1:11" ht="25.15" customHeight="1" x14ac:dyDescent="0.2">
      <c r="A49" s="182" t="s">
        <v>141</v>
      </c>
      <c r="B49" s="182"/>
      <c r="C49" s="182"/>
      <c r="D49" s="182"/>
      <c r="E49" s="182"/>
      <c r="F49" s="182"/>
      <c r="G49" s="11">
        <v>42</v>
      </c>
      <c r="H49" s="53">
        <v>285595</v>
      </c>
      <c r="I49" s="53">
        <v>285595</v>
      </c>
      <c r="J49" s="53">
        <v>385987</v>
      </c>
      <c r="K49" s="53">
        <f>+J49</f>
        <v>385987</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466979</v>
      </c>
      <c r="I51" s="53">
        <v>466979</v>
      </c>
      <c r="J51" s="53">
        <v>642704</v>
      </c>
      <c r="K51" s="53">
        <f>+J51</f>
        <v>642704</v>
      </c>
    </row>
    <row r="52" spans="1:11" ht="12.75" customHeight="1" x14ac:dyDescent="0.2">
      <c r="A52" s="220" t="s">
        <v>144</v>
      </c>
      <c r="B52" s="220"/>
      <c r="C52" s="220"/>
      <c r="D52" s="220"/>
      <c r="E52" s="220"/>
      <c r="F52" s="220"/>
      <c r="G52" s="11">
        <v>45</v>
      </c>
      <c r="H52" s="53">
        <v>3759055</v>
      </c>
      <c r="I52" s="53">
        <v>3759055</v>
      </c>
      <c r="J52" s="53">
        <v>2867997</v>
      </c>
      <c r="K52" s="53">
        <f>+J52</f>
        <v>2867997</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43852021</v>
      </c>
      <c r="I60" s="52">
        <f t="shared" ref="I60:K60" si="2">I8+I37+I56+I57</f>
        <v>43852021</v>
      </c>
      <c r="J60" s="52">
        <f t="shared" si="2"/>
        <v>48344078</v>
      </c>
      <c r="K60" s="52">
        <f t="shared" si="2"/>
        <v>48344078</v>
      </c>
    </row>
    <row r="61" spans="1:11" ht="12.75" customHeight="1" x14ac:dyDescent="0.2">
      <c r="A61" s="216" t="s">
        <v>364</v>
      </c>
      <c r="B61" s="216"/>
      <c r="C61" s="216"/>
      <c r="D61" s="216"/>
      <c r="E61" s="216"/>
      <c r="F61" s="216"/>
      <c r="G61" s="12">
        <v>54</v>
      </c>
      <c r="H61" s="52">
        <f>H14+H48+H58+H59</f>
        <v>53808396</v>
      </c>
      <c r="I61" s="52">
        <f t="shared" ref="I61:K61" si="3">I14+I48+I58+I59</f>
        <v>53808396</v>
      </c>
      <c r="J61" s="52">
        <f t="shared" si="3"/>
        <v>58268371</v>
      </c>
      <c r="K61" s="52">
        <f t="shared" si="3"/>
        <v>58268371</v>
      </c>
    </row>
    <row r="62" spans="1:11" ht="12.75" customHeight="1" x14ac:dyDescent="0.2">
      <c r="A62" s="216" t="s">
        <v>365</v>
      </c>
      <c r="B62" s="216"/>
      <c r="C62" s="216"/>
      <c r="D62" s="216"/>
      <c r="E62" s="216"/>
      <c r="F62" s="216"/>
      <c r="G62" s="12">
        <v>55</v>
      </c>
      <c r="H62" s="52">
        <f>H60-H61</f>
        <v>-9956375</v>
      </c>
      <c r="I62" s="52">
        <f t="shared" ref="I62:K62" si="4">I60-I61</f>
        <v>-9956375</v>
      </c>
      <c r="J62" s="52">
        <f t="shared" si="4"/>
        <v>-9924293</v>
      </c>
      <c r="K62" s="52">
        <f t="shared" si="4"/>
        <v>-9924293</v>
      </c>
    </row>
    <row r="63" spans="1:11" ht="12.75" customHeight="1" x14ac:dyDescent="0.2">
      <c r="A63" s="221" t="s">
        <v>366</v>
      </c>
      <c r="B63" s="221"/>
      <c r="C63" s="221"/>
      <c r="D63" s="221"/>
      <c r="E63" s="221"/>
      <c r="F63" s="221"/>
      <c r="G63" s="12">
        <v>56</v>
      </c>
      <c r="H63" s="52">
        <f>+IF((H60-H61)&gt;0,(H60-H61),0)</f>
        <v>0</v>
      </c>
      <c r="I63" s="52">
        <f t="shared" ref="I63:K63" si="5">+IF((I60-I61)&gt;0,(I60-I61),0)</f>
        <v>0</v>
      </c>
      <c r="J63" s="52">
        <f t="shared" si="5"/>
        <v>0</v>
      </c>
      <c r="K63" s="52">
        <f t="shared" si="5"/>
        <v>0</v>
      </c>
    </row>
    <row r="64" spans="1:11" ht="12.75" customHeight="1" x14ac:dyDescent="0.2">
      <c r="A64" s="221" t="s">
        <v>367</v>
      </c>
      <c r="B64" s="221"/>
      <c r="C64" s="221"/>
      <c r="D64" s="221"/>
      <c r="E64" s="221"/>
      <c r="F64" s="221"/>
      <c r="G64" s="12">
        <v>57</v>
      </c>
      <c r="H64" s="52">
        <f>+IF((H60-H61)&lt;0,(H60-H61),0)</f>
        <v>-9956375</v>
      </c>
      <c r="I64" s="52">
        <f t="shared" ref="I64:K64" si="6">+IF((I60-I61)&lt;0,(I60-I61),0)</f>
        <v>-9956375</v>
      </c>
      <c r="J64" s="52">
        <f t="shared" si="6"/>
        <v>-9924293</v>
      </c>
      <c r="K64" s="52">
        <f t="shared" si="6"/>
        <v>-9924293</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-9956375</v>
      </c>
      <c r="I66" s="52">
        <f t="shared" ref="I66:K66" si="7">I62-I65</f>
        <v>-9956375</v>
      </c>
      <c r="J66" s="52">
        <f t="shared" si="7"/>
        <v>-9924293</v>
      </c>
      <c r="K66" s="52">
        <f t="shared" si="7"/>
        <v>-9924293</v>
      </c>
    </row>
    <row r="67" spans="1:11" ht="12.75" customHeight="1" x14ac:dyDescent="0.2">
      <c r="A67" s="221" t="s">
        <v>369</v>
      </c>
      <c r="B67" s="221"/>
      <c r="C67" s="221"/>
      <c r="D67" s="221"/>
      <c r="E67" s="221"/>
      <c r="F67" s="221"/>
      <c r="G67" s="12">
        <v>60</v>
      </c>
      <c r="H67" s="52">
        <f>+IF((H62-H65)&gt;0,(H62-H65),0)</f>
        <v>0</v>
      </c>
      <c r="I67" s="52">
        <f t="shared" ref="I67:K67" si="8">+IF((I62-I65)&gt;0,(I62-I65),0)</f>
        <v>0</v>
      </c>
      <c r="J67" s="52">
        <f t="shared" si="8"/>
        <v>0</v>
      </c>
      <c r="K67" s="52">
        <f t="shared" si="8"/>
        <v>0</v>
      </c>
    </row>
    <row r="68" spans="1:11" ht="12.75" customHeight="1" x14ac:dyDescent="0.2">
      <c r="A68" s="221" t="s">
        <v>370</v>
      </c>
      <c r="B68" s="221"/>
      <c r="C68" s="221"/>
      <c r="D68" s="221"/>
      <c r="E68" s="221"/>
      <c r="F68" s="221"/>
      <c r="G68" s="12">
        <v>61</v>
      </c>
      <c r="H68" s="52">
        <f>+IF((H62-H65)&lt;0,(H62-H65),0)</f>
        <v>-9956375</v>
      </c>
      <c r="I68" s="52">
        <f t="shared" ref="I68:K68" si="9">+IF((I62-I65)&lt;0,(I62-I65),0)</f>
        <v>-9956375</v>
      </c>
      <c r="J68" s="52">
        <f t="shared" si="9"/>
        <v>-9924293</v>
      </c>
      <c r="K68" s="52">
        <f t="shared" si="9"/>
        <v>-9924293</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-9956375</v>
      </c>
      <c r="I89" s="56">
        <f t="shared" ref="I89:K89" si="10">I66</f>
        <v>-9956375</v>
      </c>
      <c r="J89" s="56">
        <f t="shared" si="10"/>
        <v>-9924293</v>
      </c>
      <c r="K89" s="56">
        <f t="shared" si="10"/>
        <v>-9924293</v>
      </c>
    </row>
    <row r="90" spans="1:11" ht="24" customHeight="1" x14ac:dyDescent="0.2">
      <c r="A90" s="184" t="s">
        <v>437</v>
      </c>
      <c r="B90" s="184"/>
      <c r="C90" s="184"/>
      <c r="D90" s="184"/>
      <c r="E90" s="184"/>
      <c r="F90" s="184"/>
      <c r="G90" s="12">
        <v>79</v>
      </c>
      <c r="H90" s="73">
        <f>H91+H98</f>
        <v>6966</v>
      </c>
      <c r="I90" s="73">
        <f>I91+I98</f>
        <v>6966</v>
      </c>
      <c r="J90" s="73">
        <f t="shared" ref="J90:K90" si="11">J91+J98</f>
        <v>-63476</v>
      </c>
      <c r="K90" s="73">
        <f t="shared" si="11"/>
        <v>-63476</v>
      </c>
    </row>
    <row r="91" spans="1:11" ht="24" customHeight="1" x14ac:dyDescent="0.2">
      <c r="A91" s="231" t="s">
        <v>444</v>
      </c>
      <c r="B91" s="231"/>
      <c r="C91" s="231"/>
      <c r="D91" s="231"/>
      <c r="E91" s="231"/>
      <c r="F91" s="231"/>
      <c r="G91" s="12">
        <v>80</v>
      </c>
      <c r="H91" s="73">
        <f>SUM(H92:H96)</f>
        <v>0</v>
      </c>
      <c r="I91" s="73">
        <f>SUM(I92:I96)</f>
        <v>0</v>
      </c>
      <c r="J91" s="73">
        <f t="shared" ref="J91:K91" si="12">SUM(J92:J96)</f>
        <v>0</v>
      </c>
      <c r="K91" s="73">
        <f t="shared" si="12"/>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6966</v>
      </c>
      <c r="I98" s="73">
        <f>SUM(I99:I106)</f>
        <v>6966</v>
      </c>
      <c r="J98" s="73">
        <f t="shared" ref="J98:K98" si="13">SUM(J99:J106)</f>
        <v>-63476</v>
      </c>
      <c r="K98" s="73">
        <f t="shared" si="13"/>
        <v>-63476</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6966</v>
      </c>
      <c r="I106" s="56">
        <v>6966</v>
      </c>
      <c r="J106" s="56">
        <v>-63476</v>
      </c>
      <c r="K106" s="56">
        <f>+J106</f>
        <v>-63476</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6966</v>
      </c>
      <c r="I108" s="73">
        <f>I91+I98-I107-I97</f>
        <v>6966</v>
      </c>
      <c r="J108" s="73">
        <f t="shared" ref="J108:K108" si="14">J91+J98-J107-J97</f>
        <v>-63476</v>
      </c>
      <c r="K108" s="73">
        <f t="shared" si="14"/>
        <v>-63476</v>
      </c>
    </row>
    <row r="109" spans="1:11" ht="12.75" customHeight="1" x14ac:dyDescent="0.2">
      <c r="A109" s="184" t="s">
        <v>393</v>
      </c>
      <c r="B109" s="184"/>
      <c r="C109" s="184"/>
      <c r="D109" s="184"/>
      <c r="E109" s="184"/>
      <c r="F109" s="184"/>
      <c r="G109" s="12">
        <v>98</v>
      </c>
      <c r="H109" s="55">
        <f>H89+H108</f>
        <v>-9949409</v>
      </c>
      <c r="I109" s="55">
        <f>I89+I108</f>
        <v>-9949409</v>
      </c>
      <c r="J109" s="55">
        <f t="shared" ref="J109:K109" si="15">J89+J108</f>
        <v>-9987769</v>
      </c>
      <c r="K109" s="55">
        <f t="shared" si="15"/>
        <v>-9987769</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Normal="100" zoomScaleSheetLayoutView="85" workbookViewId="0">
      <selection sqref="A1: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467</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-9956375</v>
      </c>
      <c r="I8" s="68">
        <v>-9924293</v>
      </c>
    </row>
    <row r="9" spans="1:9" ht="12.75" customHeight="1" x14ac:dyDescent="0.2">
      <c r="A9" s="240" t="s">
        <v>171</v>
      </c>
      <c r="B9" s="240"/>
      <c r="C9" s="240"/>
      <c r="D9" s="240"/>
      <c r="E9" s="240"/>
      <c r="F9" s="240"/>
      <c r="G9" s="69">
        <v>2</v>
      </c>
      <c r="H9" s="70">
        <f>H10+H11+H12+H13+H14+H15+H16+H17</f>
        <v>3231053</v>
      </c>
      <c r="I9" s="70">
        <f>I10+I11+I12+I13+I14+I15+I16+I17</f>
        <v>-160857</v>
      </c>
    </row>
    <row r="10" spans="1:9" ht="12.75" customHeight="1" x14ac:dyDescent="0.2">
      <c r="A10" s="217" t="s">
        <v>172</v>
      </c>
      <c r="B10" s="217"/>
      <c r="C10" s="217"/>
      <c r="D10" s="217"/>
      <c r="E10" s="217"/>
      <c r="F10" s="217"/>
      <c r="G10" s="67">
        <v>3</v>
      </c>
      <c r="H10" s="68">
        <v>4807600</v>
      </c>
      <c r="I10" s="68">
        <f>RDG!J24</f>
        <v>4685810</v>
      </c>
    </row>
    <row r="11" spans="1:9" ht="22.15" customHeight="1" x14ac:dyDescent="0.2">
      <c r="A11" s="217" t="s">
        <v>173</v>
      </c>
      <c r="B11" s="217"/>
      <c r="C11" s="217"/>
      <c r="D11" s="217"/>
      <c r="E11" s="217"/>
      <c r="F11" s="217"/>
      <c r="G11" s="67">
        <v>4</v>
      </c>
      <c r="H11" s="68">
        <v>-29383</v>
      </c>
      <c r="I11" s="68">
        <v>-2961</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-148817</v>
      </c>
      <c r="I13" s="68">
        <v>-650738</v>
      </c>
    </row>
    <row r="14" spans="1:9" ht="12.75" customHeight="1" x14ac:dyDescent="0.2">
      <c r="A14" s="217" t="s">
        <v>176</v>
      </c>
      <c r="B14" s="217"/>
      <c r="C14" s="217"/>
      <c r="D14" s="217"/>
      <c r="E14" s="217"/>
      <c r="F14" s="217"/>
      <c r="G14" s="67">
        <v>7</v>
      </c>
      <c r="H14" s="68">
        <v>752574</v>
      </c>
      <c r="I14" s="68">
        <v>1028692</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-301531</v>
      </c>
      <c r="I16" s="68">
        <v>74694</v>
      </c>
    </row>
    <row r="17" spans="1:9" ht="25.15" customHeight="1" x14ac:dyDescent="0.2">
      <c r="A17" s="217" t="s">
        <v>179</v>
      </c>
      <c r="B17" s="217"/>
      <c r="C17" s="217"/>
      <c r="D17" s="217"/>
      <c r="E17" s="217"/>
      <c r="F17" s="217"/>
      <c r="G17" s="67">
        <v>10</v>
      </c>
      <c r="H17" s="68">
        <v>-1849390</v>
      </c>
      <c r="I17" s="68">
        <v>-5296354</v>
      </c>
    </row>
    <row r="18" spans="1:9" ht="28.15" customHeight="1" x14ac:dyDescent="0.2">
      <c r="A18" s="239" t="s">
        <v>306</v>
      </c>
      <c r="B18" s="239"/>
      <c r="C18" s="239"/>
      <c r="D18" s="239"/>
      <c r="E18" s="239"/>
      <c r="F18" s="239"/>
      <c r="G18" s="69">
        <v>11</v>
      </c>
      <c r="H18" s="70">
        <f>H8+H9</f>
        <v>-6725322</v>
      </c>
      <c r="I18" s="70">
        <f>I8+I9</f>
        <v>-10085150</v>
      </c>
    </row>
    <row r="19" spans="1:9" ht="12.75" customHeight="1" x14ac:dyDescent="0.2">
      <c r="A19" s="240" t="s">
        <v>180</v>
      </c>
      <c r="B19" s="240"/>
      <c r="C19" s="240"/>
      <c r="D19" s="240"/>
      <c r="E19" s="240"/>
      <c r="F19" s="240"/>
      <c r="G19" s="69">
        <v>12</v>
      </c>
      <c r="H19" s="70">
        <f>H20+H21+H22+H23</f>
        <v>17162339</v>
      </c>
      <c r="I19" s="70">
        <f>I20+I21+I22+I23</f>
        <v>14011378</v>
      </c>
    </row>
    <row r="20" spans="1:9" ht="12.75" customHeight="1" x14ac:dyDescent="0.2">
      <c r="A20" s="217" t="s">
        <v>181</v>
      </c>
      <c r="B20" s="217"/>
      <c r="C20" s="217"/>
      <c r="D20" s="217"/>
      <c r="E20" s="217"/>
      <c r="F20" s="217"/>
      <c r="G20" s="67">
        <v>13</v>
      </c>
      <c r="H20" s="68">
        <v>29489713</v>
      </c>
      <c r="I20" s="68">
        <v>23473115</v>
      </c>
    </row>
    <row r="21" spans="1:9" ht="12.75" customHeight="1" x14ac:dyDescent="0.2">
      <c r="A21" s="217" t="s">
        <v>182</v>
      </c>
      <c r="B21" s="217"/>
      <c r="C21" s="217"/>
      <c r="D21" s="217"/>
      <c r="E21" s="217"/>
      <c r="F21" s="217"/>
      <c r="G21" s="67">
        <v>14</v>
      </c>
      <c r="H21" s="68">
        <v>-8139445</v>
      </c>
      <c r="I21" s="68">
        <v>-8973450</v>
      </c>
    </row>
    <row r="22" spans="1:9" ht="12.75" customHeight="1" x14ac:dyDescent="0.2">
      <c r="A22" s="217" t="s">
        <v>183</v>
      </c>
      <c r="B22" s="217"/>
      <c r="C22" s="217"/>
      <c r="D22" s="217"/>
      <c r="E22" s="217"/>
      <c r="F22" s="217"/>
      <c r="G22" s="67">
        <v>15</v>
      </c>
      <c r="H22" s="68">
        <v>34796</v>
      </c>
      <c r="I22" s="68">
        <v>-322271</v>
      </c>
    </row>
    <row r="23" spans="1:9" ht="12.75" customHeight="1" x14ac:dyDescent="0.2">
      <c r="A23" s="217" t="s">
        <v>184</v>
      </c>
      <c r="B23" s="217"/>
      <c r="C23" s="217"/>
      <c r="D23" s="217"/>
      <c r="E23" s="217"/>
      <c r="F23" s="217"/>
      <c r="G23" s="67">
        <v>16</v>
      </c>
      <c r="H23" s="68">
        <f>-5651396+1428671</f>
        <v>-4222725</v>
      </c>
      <c r="I23" s="68">
        <v>-166016</v>
      </c>
    </row>
    <row r="24" spans="1:9" ht="12.75" customHeight="1" x14ac:dyDescent="0.2">
      <c r="A24" s="239" t="s">
        <v>185</v>
      </c>
      <c r="B24" s="239"/>
      <c r="C24" s="239"/>
      <c r="D24" s="239"/>
      <c r="E24" s="239"/>
      <c r="F24" s="239"/>
      <c r="G24" s="69">
        <v>17</v>
      </c>
      <c r="H24" s="70">
        <f>H18+H19</f>
        <v>10437017</v>
      </c>
      <c r="I24" s="70">
        <f>I18+I19</f>
        <v>3926228</v>
      </c>
    </row>
    <row r="25" spans="1:9" ht="12.75" customHeight="1" x14ac:dyDescent="0.2">
      <c r="A25" s="182" t="s">
        <v>186</v>
      </c>
      <c r="B25" s="182"/>
      <c r="C25" s="182"/>
      <c r="D25" s="182"/>
      <c r="E25" s="182"/>
      <c r="F25" s="182"/>
      <c r="G25" s="67">
        <v>18</v>
      </c>
      <c r="H25" s="68">
        <v>-467626</v>
      </c>
      <c r="I25" s="68">
        <v>-643183</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9969391</v>
      </c>
      <c r="I27" s="70">
        <f>I24+I25+I26</f>
        <v>3283045</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36788</v>
      </c>
      <c r="I29" s="71">
        <v>5521</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75000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36788</v>
      </c>
      <c r="I35" s="72">
        <f>I29+I30+I31+I32+I33+I34</f>
        <v>80521</v>
      </c>
    </row>
    <row r="36" spans="1:9" ht="22.9" customHeight="1" x14ac:dyDescent="0.2">
      <c r="A36" s="182" t="s">
        <v>197</v>
      </c>
      <c r="B36" s="182"/>
      <c r="C36" s="182"/>
      <c r="D36" s="182"/>
      <c r="E36" s="182"/>
      <c r="F36" s="182"/>
      <c r="G36" s="67">
        <v>28</v>
      </c>
      <c r="H36" s="71">
        <v>-2492537</v>
      </c>
      <c r="I36" s="71">
        <v>-933030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-1428671</v>
      </c>
      <c r="I40" s="71">
        <v>-2511574</v>
      </c>
    </row>
    <row r="41" spans="1:9" ht="24" customHeight="1" x14ac:dyDescent="0.2">
      <c r="A41" s="239" t="s">
        <v>202</v>
      </c>
      <c r="B41" s="239"/>
      <c r="C41" s="239"/>
      <c r="D41" s="239"/>
      <c r="E41" s="239"/>
      <c r="F41" s="239"/>
      <c r="G41" s="69">
        <v>33</v>
      </c>
      <c r="H41" s="72">
        <f>H36+H37+H38+H39+H40</f>
        <v>-3921208</v>
      </c>
      <c r="I41" s="72">
        <f>I36+I37+I38+I39+I40</f>
        <v>-3444604</v>
      </c>
    </row>
    <row r="42" spans="1:9" ht="29.45" customHeight="1" x14ac:dyDescent="0.2">
      <c r="A42" s="244" t="s">
        <v>203</v>
      </c>
      <c r="B42" s="244"/>
      <c r="C42" s="244"/>
      <c r="D42" s="244"/>
      <c r="E42" s="244"/>
      <c r="F42" s="244"/>
      <c r="G42" s="69">
        <v>34</v>
      </c>
      <c r="H42" s="72">
        <f>H35+H41</f>
        <v>-3884420</v>
      </c>
      <c r="I42" s="72">
        <f>I35+I41</f>
        <v>-3364083</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-300000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-2628996</v>
      </c>
      <c r="I53" s="71">
        <v>-3271516</v>
      </c>
    </row>
    <row r="54" spans="1:9" ht="30.6" customHeight="1" x14ac:dyDescent="0.2">
      <c r="A54" s="239" t="s">
        <v>214</v>
      </c>
      <c r="B54" s="239"/>
      <c r="C54" s="239"/>
      <c r="D54" s="239"/>
      <c r="E54" s="239"/>
      <c r="F54" s="239"/>
      <c r="G54" s="69">
        <v>45</v>
      </c>
      <c r="H54" s="72">
        <f>H49+H50+H51+H52+H53</f>
        <v>-2928996</v>
      </c>
      <c r="I54" s="72">
        <f>I49+I50+I51+I52+I53</f>
        <v>-3271516</v>
      </c>
    </row>
    <row r="55" spans="1:9" ht="29.45" customHeight="1" x14ac:dyDescent="0.2">
      <c r="A55" s="244" t="s">
        <v>215</v>
      </c>
      <c r="B55" s="244"/>
      <c r="C55" s="244"/>
      <c r="D55" s="244"/>
      <c r="E55" s="244"/>
      <c r="F55" s="244"/>
      <c r="G55" s="69">
        <v>46</v>
      </c>
      <c r="H55" s="72">
        <f>H48+H54</f>
        <v>-2928996</v>
      </c>
      <c r="I55" s="72">
        <f>I48+I54</f>
        <v>-3271516</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3155975</v>
      </c>
      <c r="I57" s="72">
        <f>I27+I42+I55+I56</f>
        <v>-3352554</v>
      </c>
    </row>
    <row r="58" spans="1:9" x14ac:dyDescent="0.2">
      <c r="A58" s="245" t="s">
        <v>218</v>
      </c>
      <c r="B58" s="245"/>
      <c r="C58" s="245"/>
      <c r="D58" s="245"/>
      <c r="E58" s="245"/>
      <c r="F58" s="245"/>
      <c r="G58" s="67">
        <v>49</v>
      </c>
      <c r="H58" s="71">
        <v>76286364</v>
      </c>
      <c r="I58" s="71">
        <v>79119537</v>
      </c>
    </row>
    <row r="59" spans="1:9" ht="31.15" customHeight="1" x14ac:dyDescent="0.2">
      <c r="A59" s="244" t="s">
        <v>219</v>
      </c>
      <c r="B59" s="244"/>
      <c r="C59" s="244"/>
      <c r="D59" s="244"/>
      <c r="E59" s="244"/>
      <c r="F59" s="244"/>
      <c r="G59" s="69">
        <v>50</v>
      </c>
      <c r="H59" s="72">
        <f>H57+H58</f>
        <v>79442339</v>
      </c>
      <c r="I59" s="72">
        <f>I57+I58</f>
        <v>75766983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L9" sqref="L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37" zoomScale="89" zoomScaleNormal="89" zoomScaleSheetLayoutView="80" workbookViewId="0">
      <selection activeCell="AB69" sqref="AB6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83333935</v>
      </c>
      <c r="I7" s="33">
        <v>39285951</v>
      </c>
      <c r="J7" s="33">
        <v>0</v>
      </c>
      <c r="K7" s="33">
        <v>0</v>
      </c>
      <c r="L7" s="33">
        <v>0</v>
      </c>
      <c r="M7" s="33">
        <v>0</v>
      </c>
      <c r="N7" s="33">
        <v>0</v>
      </c>
      <c r="O7" s="33">
        <v>0</v>
      </c>
      <c r="P7" s="33">
        <v>-56494</v>
      </c>
      <c r="Q7" s="33">
        <v>0</v>
      </c>
      <c r="R7" s="33">
        <v>0</v>
      </c>
      <c r="S7" s="33">
        <v>0</v>
      </c>
      <c r="T7" s="33">
        <v>0</v>
      </c>
      <c r="U7" s="33">
        <v>-92664517</v>
      </c>
      <c r="V7" s="33">
        <v>-18203451</v>
      </c>
      <c r="W7" s="34">
        <f>H7+I7+J7+K7-L7+M7+N7+O7+P7+Q7+R7+U7+V7+S7+T7</f>
        <v>11695424</v>
      </c>
      <c r="X7" s="33">
        <v>0</v>
      </c>
      <c r="Y7" s="34">
        <f>W7+X7</f>
        <v>11695424</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83333935</v>
      </c>
      <c r="I10" s="34">
        <f t="shared" ref="I10:Y10" si="2">I7+I8+I9</f>
        <v>39285951</v>
      </c>
      <c r="J10" s="34">
        <f t="shared" si="2"/>
        <v>0</v>
      </c>
      <c r="K10" s="34">
        <f>K7+K8+K9</f>
        <v>0</v>
      </c>
      <c r="L10" s="34">
        <f t="shared" si="2"/>
        <v>0</v>
      </c>
      <c r="M10" s="34">
        <f t="shared" si="2"/>
        <v>0</v>
      </c>
      <c r="N10" s="34">
        <f t="shared" si="2"/>
        <v>0</v>
      </c>
      <c r="O10" s="34">
        <f t="shared" si="2"/>
        <v>0</v>
      </c>
      <c r="P10" s="34">
        <f t="shared" si="2"/>
        <v>-56494</v>
      </c>
      <c r="Q10" s="34">
        <f t="shared" si="2"/>
        <v>0</v>
      </c>
      <c r="R10" s="34">
        <f t="shared" si="2"/>
        <v>0</v>
      </c>
      <c r="S10" s="34">
        <f t="shared" si="2"/>
        <v>0</v>
      </c>
      <c r="T10" s="34">
        <f t="shared" si="2"/>
        <v>0</v>
      </c>
      <c r="U10" s="34">
        <f t="shared" si="2"/>
        <v>-92664517</v>
      </c>
      <c r="V10" s="34">
        <f t="shared" si="2"/>
        <v>-18203451</v>
      </c>
      <c r="W10" s="34">
        <f t="shared" si="2"/>
        <v>11695424</v>
      </c>
      <c r="X10" s="34">
        <f t="shared" si="2"/>
        <v>0</v>
      </c>
      <c r="Y10" s="34">
        <f t="shared" si="2"/>
        <v>11695424</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RDG!H66</f>
        <v>-9956375</v>
      </c>
      <c r="W11" s="34">
        <f t="shared" ref="W11:W29" si="3">H11+I11+J11+K11-L11+M11+N11+O11+P11+Q11+R11+U11+V11+S11+T11</f>
        <v>-9956375</v>
      </c>
      <c r="X11" s="33">
        <v>0</v>
      </c>
      <c r="Y11" s="34">
        <f t="shared" ref="Y11:Y29" si="4">W11+X11</f>
        <v>-9956375</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6966</v>
      </c>
      <c r="Q14" s="35">
        <v>0</v>
      </c>
      <c r="R14" s="35">
        <v>0</v>
      </c>
      <c r="S14" s="33">
        <v>0</v>
      </c>
      <c r="T14" s="33">
        <v>0</v>
      </c>
      <c r="U14" s="33">
        <v>0</v>
      </c>
      <c r="V14" s="33">
        <v>0</v>
      </c>
      <c r="W14" s="34">
        <f t="shared" si="3"/>
        <v>6966</v>
      </c>
      <c r="X14" s="33">
        <v>0</v>
      </c>
      <c r="Y14" s="34">
        <f t="shared" si="4"/>
        <v>6966</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39285951</v>
      </c>
      <c r="I24" s="33">
        <v>-39285951</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f>V10</f>
        <v>-18203451</v>
      </c>
      <c r="V28" s="33">
        <f>U28*-1</f>
        <v>18203451</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122619886</v>
      </c>
      <c r="I30" s="36">
        <f t="shared" ref="I30:Y30" si="5">SUM(I10:I29)</f>
        <v>0</v>
      </c>
      <c r="J30" s="36">
        <f t="shared" si="5"/>
        <v>0</v>
      </c>
      <c r="K30" s="36">
        <f t="shared" si="5"/>
        <v>0</v>
      </c>
      <c r="L30" s="36">
        <f t="shared" si="5"/>
        <v>0</v>
      </c>
      <c r="M30" s="36">
        <f t="shared" si="5"/>
        <v>0</v>
      </c>
      <c r="N30" s="36">
        <f t="shared" si="5"/>
        <v>0</v>
      </c>
      <c r="O30" s="36">
        <f t="shared" si="5"/>
        <v>0</v>
      </c>
      <c r="P30" s="36">
        <f t="shared" si="5"/>
        <v>-49528</v>
      </c>
      <c r="Q30" s="36">
        <f t="shared" si="5"/>
        <v>0</v>
      </c>
      <c r="R30" s="36">
        <f t="shared" si="5"/>
        <v>0</v>
      </c>
      <c r="S30" s="36">
        <f t="shared" si="5"/>
        <v>0</v>
      </c>
      <c r="T30" s="36">
        <f t="shared" si="5"/>
        <v>0</v>
      </c>
      <c r="U30" s="36">
        <f t="shared" si="5"/>
        <v>-110867968</v>
      </c>
      <c r="V30" s="36">
        <f t="shared" si="5"/>
        <v>-9956375</v>
      </c>
      <c r="W30" s="36">
        <f t="shared" si="5"/>
        <v>1746015</v>
      </c>
      <c r="X30" s="36">
        <f t="shared" si="5"/>
        <v>0</v>
      </c>
      <c r="Y30" s="36">
        <f t="shared" si="5"/>
        <v>1746015</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6966</v>
      </c>
      <c r="Q32" s="34">
        <f t="shared" si="6"/>
        <v>0</v>
      </c>
      <c r="R32" s="34">
        <f t="shared" si="6"/>
        <v>0</v>
      </c>
      <c r="S32" s="34">
        <f t="shared" ref="S32:T32" si="7">SUM(S12:S20)</f>
        <v>0</v>
      </c>
      <c r="T32" s="34">
        <f t="shared" si="7"/>
        <v>0</v>
      </c>
      <c r="U32" s="34">
        <f t="shared" si="6"/>
        <v>0</v>
      </c>
      <c r="V32" s="34">
        <f t="shared" si="6"/>
        <v>0</v>
      </c>
      <c r="W32" s="34">
        <f t="shared" si="6"/>
        <v>6966</v>
      </c>
      <c r="X32" s="34">
        <f t="shared" si="6"/>
        <v>0</v>
      </c>
      <c r="Y32" s="34">
        <f t="shared" si="6"/>
        <v>6966</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6966</v>
      </c>
      <c r="Q33" s="34">
        <f t="shared" si="8"/>
        <v>0</v>
      </c>
      <c r="R33" s="34">
        <f t="shared" si="8"/>
        <v>0</v>
      </c>
      <c r="S33" s="34">
        <f t="shared" ref="S33:T33" si="9">S11+S32</f>
        <v>0</v>
      </c>
      <c r="T33" s="34">
        <f t="shared" si="9"/>
        <v>0</v>
      </c>
      <c r="U33" s="34">
        <f t="shared" si="8"/>
        <v>0</v>
      </c>
      <c r="V33" s="34">
        <f t="shared" si="8"/>
        <v>-9956375</v>
      </c>
      <c r="W33" s="34">
        <f t="shared" si="8"/>
        <v>-9949409</v>
      </c>
      <c r="X33" s="34">
        <f t="shared" si="8"/>
        <v>0</v>
      </c>
      <c r="Y33" s="34">
        <f t="shared" si="8"/>
        <v>-9949409</v>
      </c>
    </row>
    <row r="34" spans="1:25" ht="30.75" customHeight="1" x14ac:dyDescent="0.2">
      <c r="A34" s="292" t="s">
        <v>429</v>
      </c>
      <c r="B34" s="292"/>
      <c r="C34" s="292"/>
      <c r="D34" s="292"/>
      <c r="E34" s="292"/>
      <c r="F34" s="292"/>
      <c r="G34" s="8">
        <v>27</v>
      </c>
      <c r="H34" s="36">
        <f>SUM(H21:H29)</f>
        <v>39285951</v>
      </c>
      <c r="I34" s="36">
        <f t="shared" ref="I34:Y34" si="10">SUM(I21:I29)</f>
        <v>-39285951</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-18203451</v>
      </c>
      <c r="V34" s="36">
        <f t="shared" si="10"/>
        <v>18203451</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v>0</v>
      </c>
      <c r="O36" s="33">
        <f>Bilanca!H84</f>
        <v>412184</v>
      </c>
      <c r="P36" s="33">
        <f>Bilanca!H86</f>
        <v>63476</v>
      </c>
      <c r="Q36" s="33">
        <v>0</v>
      </c>
      <c r="R36" s="33">
        <v>0</v>
      </c>
      <c r="S36" s="33">
        <v>0</v>
      </c>
      <c r="T36" s="33">
        <v>0</v>
      </c>
      <c r="U36" s="33">
        <f>Bilanca!H91</f>
        <v>-80636035</v>
      </c>
      <c r="V36" s="33">
        <f>Bilanca!H94</f>
        <v>2252127</v>
      </c>
      <c r="W36" s="37">
        <f>H36+I36+J36+K36-L36+M36+N36+O36+P36+Q36+R36+U36+V36+S36+T36</f>
        <v>14479705</v>
      </c>
      <c r="X36" s="33">
        <v>0</v>
      </c>
      <c r="Y36" s="37">
        <f t="shared" ref="Y36:Y38" si="12">W36+X36</f>
        <v>14479705</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0</v>
      </c>
      <c r="O39" s="34">
        <f t="shared" si="14"/>
        <v>412184</v>
      </c>
      <c r="P39" s="34">
        <f t="shared" si="14"/>
        <v>63476</v>
      </c>
      <c r="Q39" s="34">
        <f t="shared" si="14"/>
        <v>0</v>
      </c>
      <c r="R39" s="34">
        <f t="shared" si="14"/>
        <v>0</v>
      </c>
      <c r="S39" s="34">
        <f t="shared" si="14"/>
        <v>0</v>
      </c>
      <c r="T39" s="34">
        <f t="shared" si="14"/>
        <v>0</v>
      </c>
      <c r="U39" s="34">
        <f t="shared" si="14"/>
        <v>-80636035</v>
      </c>
      <c r="V39" s="34">
        <f t="shared" si="14"/>
        <v>2252127</v>
      </c>
      <c r="W39" s="34">
        <f t="shared" si="14"/>
        <v>14479705</v>
      </c>
      <c r="X39" s="34">
        <f t="shared" si="14"/>
        <v>0</v>
      </c>
      <c r="Y39" s="34">
        <f t="shared" si="14"/>
        <v>14479705</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RDG!J62</f>
        <v>-9924293</v>
      </c>
      <c r="W40" s="37">
        <f t="shared" ref="W40:W58" si="15">H40+I40+J40+K40-L40+M40+N40+O40+P40+Q40+R40+U40+V40+S40+T40</f>
        <v>-9924293</v>
      </c>
      <c r="X40" s="33">
        <v>0</v>
      </c>
      <c r="Y40" s="37">
        <f t="shared" ref="Y40:Y58" si="16">W40+X40</f>
        <v>-9924293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V36</f>
        <v>2252127</v>
      </c>
      <c r="V57" s="33">
        <f>V36*-1</f>
        <v>-2252127</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0</v>
      </c>
      <c r="O59" s="36">
        <f t="shared" si="17"/>
        <v>412184</v>
      </c>
      <c r="P59" s="36">
        <f t="shared" si="17"/>
        <v>0</v>
      </c>
      <c r="Q59" s="36">
        <f t="shared" si="17"/>
        <v>0</v>
      </c>
      <c r="R59" s="36">
        <f t="shared" si="17"/>
        <v>0</v>
      </c>
      <c r="S59" s="36">
        <f t="shared" si="17"/>
        <v>0</v>
      </c>
      <c r="T59" s="36">
        <f t="shared" si="17"/>
        <v>0</v>
      </c>
      <c r="U59" s="36">
        <f t="shared" si="17"/>
        <v>-78383908</v>
      </c>
      <c r="V59" s="36">
        <f t="shared" si="17"/>
        <v>-9924293</v>
      </c>
      <c r="W59" s="36">
        <f t="shared" si="17"/>
        <v>4491936</v>
      </c>
      <c r="X59" s="36">
        <f t="shared" si="17"/>
        <v>0</v>
      </c>
      <c r="Y59" s="36">
        <f t="shared" si="17"/>
        <v>4491936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-9924293</v>
      </c>
      <c r="W62" s="37">
        <f t="shared" si="20"/>
        <v>-9987769</v>
      </c>
      <c r="X62" s="37">
        <f t="shared" si="20"/>
        <v>0</v>
      </c>
      <c r="Y62" s="37">
        <f t="shared" si="20"/>
        <v>-9987769</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2252127</v>
      </c>
      <c r="V63" s="38">
        <f t="shared" si="22"/>
        <v>-2252127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470</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Tokić Marija</cp:lastModifiedBy>
  <cp:lastPrinted>2024-04-30T11:11:00Z</cp:lastPrinted>
  <dcterms:created xsi:type="dcterms:W3CDTF">2008-10-17T11:51:54Z</dcterms:created>
  <dcterms:modified xsi:type="dcterms:W3CDTF">2024-04-30T12:57:03Z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