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1-6 2024 CTN\"/>
    </mc:Choice>
  </mc:AlternateContent>
  <xr:revisionPtr revIDLastSave="0" documentId="13_ncr:1_{333C9672-EB02-4DB5-BA72-14C2D05B9BA4}"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0" l="1"/>
  <c r="H20" i="20"/>
  <c r="H8" i="20"/>
  <c r="I10" i="20"/>
  <c r="I58" i="20"/>
  <c r="K21" i="26"/>
  <c r="K22" i="26"/>
  <c r="K52" i="26"/>
  <c r="K51" i="26"/>
  <c r="K49" i="26"/>
  <c r="K45" i="26"/>
  <c r="K44" i="26"/>
  <c r="K41" i="26"/>
  <c r="K38" i="26"/>
  <c r="K9" i="26"/>
  <c r="K36" i="26"/>
  <c r="K28" i="26"/>
  <c r="K25" i="26"/>
  <c r="K24" i="26"/>
  <c r="K23" i="26"/>
  <c r="K19" i="26"/>
  <c r="K17" i="26"/>
  <c r="K13" i="26"/>
  <c r="K10" i="26"/>
  <c r="K106" i="26"/>
  <c r="I131" i="18" l="1"/>
  <c r="I19" i="18"/>
  <c r="I21" i="18"/>
  <c r="I89" i="26" l="1"/>
  <c r="H89" i="26"/>
  <c r="I38" i="26" l="1"/>
  <c r="I55" i="26"/>
  <c r="I28" i="26"/>
  <c r="I10" i="26"/>
  <c r="I9" i="26"/>
  <c r="I106" i="26" l="1"/>
  <c r="I52" i="26"/>
  <c r="I51" i="26"/>
  <c r="I49" i="26"/>
  <c r="I45" i="26"/>
  <c r="I44" i="26"/>
  <c r="I36" i="26"/>
  <c r="I25" i="26"/>
  <c r="I23" i="26"/>
  <c r="I24" i="26"/>
  <c r="I22" i="26"/>
  <c r="I21" i="26"/>
  <c r="I19" i="26"/>
  <c r="I17" i="26"/>
  <c r="I13" i="26"/>
  <c r="P43" i="22"/>
  <c r="O36" i="22"/>
  <c r="H16" i="18"/>
  <c r="H57" i="18"/>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I8" i="20" s="1"/>
  <c r="J63" i="26"/>
  <c r="H63" i="26"/>
  <c r="K62" i="26"/>
  <c r="K66" i="26" s="1"/>
  <c r="H62" i="26"/>
  <c r="H64" i="26"/>
  <c r="I51" i="21"/>
  <c r="I53" i="21" s="1"/>
  <c r="H51" i="21"/>
  <c r="H53" i="21" s="1"/>
  <c r="K89" i="26" l="1"/>
  <c r="K109" i="26" s="1"/>
  <c r="H68" i="26"/>
  <c r="J67" i="26"/>
  <c r="V40" i="22"/>
  <c r="W40" i="22" s="1"/>
  <c r="I67" i="26"/>
  <c r="I68" i="26"/>
  <c r="J66" i="26"/>
  <c r="J89" i="26" s="1"/>
  <c r="J109" i="26" s="1"/>
  <c r="J68" i="26"/>
  <c r="K67" i="26"/>
  <c r="K68" i="26"/>
  <c r="H66" i="26"/>
  <c r="H67" i="26"/>
  <c r="I85" i="18"/>
  <c r="H85" i="18"/>
  <c r="H109" i="26" l="1"/>
  <c r="V11" i="22"/>
  <c r="W11" i="22" s="1"/>
  <c r="I78" i="18"/>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U57" i="22" l="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60" i="18"/>
  <c r="I53" i="18"/>
  <c r="I45" i="18"/>
  <c r="I38" i="18"/>
  <c r="I27" i="18"/>
  <c r="I17" i="18"/>
  <c r="I10" i="18"/>
  <c r="H57" i="20" l="1"/>
  <c r="H59" i="20" s="1"/>
  <c r="W57" i="22"/>
  <c r="Y57" i="22" s="1"/>
  <c r="U28" i="22"/>
  <c r="U30" i="22" s="1"/>
  <c r="I24" i="20"/>
  <c r="I27" i="20" s="1"/>
  <c r="I55" i="20"/>
  <c r="H72" i="18"/>
  <c r="I44" i="18"/>
  <c r="I75" i="18"/>
  <c r="Y63" i="22"/>
  <c r="W63" i="22"/>
  <c r="I9" i="18"/>
  <c r="I42" i="20"/>
  <c r="Y61" i="22"/>
  <c r="Y62" i="22" s="1"/>
  <c r="W61" i="22"/>
  <c r="W62" i="22" s="1"/>
  <c r="Y32" i="22"/>
  <c r="Y33" i="22" s="1"/>
  <c r="W32" i="22"/>
  <c r="W33" i="22" s="1"/>
  <c r="Y39" i="22"/>
  <c r="Y59" i="22" s="1"/>
  <c r="W39" i="22"/>
  <c r="W59" i="22" s="1"/>
  <c r="Y10" i="22"/>
  <c r="W10" i="22"/>
  <c r="V28" i="22" l="1"/>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<sst xmlns="http://schemas.openxmlformats.org/spreadsheetml/2006/main" count="536" uniqueCount="470">
  <si>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</si>
  <si>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</si>
  <si>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</si>
  <si>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</si>
  <si>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</si>
  <si>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</si>
  <si>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</si>
  <si>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</si>
  <si>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</si>
  <si>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</si>
  <si>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</si>
  <si>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</si>
  <si>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</si>
  <si>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</si>
  <si>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</si>
  <si>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</si>
  <si>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</si>
  <si>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</si>
  <si>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</si>
  <si>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</si>
  <si>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</si>
  <si>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</si>
  <si>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</si>
  <si>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</si>
  <si>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</si>
  <si>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</si>
  <si>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</si>
  <si>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</si>
  <si>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</si>
  <si>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</si>
  <si>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</si>
  <si>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</si>
  <si>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</si>
  <si>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</si>
  <si>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</si>
  <si>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</si>
  <si>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</si>
  <si>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</si>
  <si>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</si>
  <si>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</si>
  <si>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</si>
  <si>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</si>
  <si>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</si>
  <si>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</si>
  <si>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</si>
  <si>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</si>
  <si>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</si>
  <si>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</si>
  <si>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</si>
  <si>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</si>
  <si>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</si>
  <si>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</si>
  <si>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</si>
  <si>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</si>
  <si>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</si>
  <si>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</si>
  <si>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</si>
  <si>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</si>
  <si>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</si>
  <si>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</si>
  <si>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</si>
  <si>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</si>
  <si>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</si>
  <si>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</si>
  <si>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</si>
  <si>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</si>
  <si>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</si>
  <si>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</si>
  <si>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</si>
  <si>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</si>
  <si>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</si>
  <si>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</si>
  <si>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</si>
  <si>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</si>
  <si>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</si>
  <si>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</si>
  <si>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</si>
  <si>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</si>
  <si>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</si>
  <si>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</si>
  <si>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</si>
  <si>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</si>
  <si>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</si>
  <si>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</si>
  <si>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</si>
  <si>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</si>
  <si>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</si>
  <si>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</si>
  <si>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</si>
  <si>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</si>
  <si>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</si>
  <si>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</si>
  <si>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</si>
  <si>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</si>
  <si>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</si>
  <si>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</si>
  <si>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</si>
  <si>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</si>
  <si>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</si>
  <si>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</si>
  <si>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</si>
  <si>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</si>
  <si>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</si>
  <si>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</si>
  <si>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</si>
  <si>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</si>
  <si>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</si>
  <si>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</si>
  <si>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</si>
  <si>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</si>
  <si>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</si>
  <si>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</si>
  <si>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</si>
  <si>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</si>
  <si>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</si>
  <si>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</si>
  <si>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</si>
  <si>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</si>
  <si>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</si>
  <si>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</si>
  <si>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</si>
  <si>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</si>
  <si>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</si>
  <si>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</si>
  <si>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</si>
  <si>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</si>
  <si>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</si>
  <si>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</si>
  <si>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</si>
  <si>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</si>
  <si>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</si>
  <si>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</si>
  <si>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</si>
  <si>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</si>
  <si>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</si>
  <si>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</si>
  <si>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</si>
  <si>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</si>
  <si>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</si>
  <si>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</si>
  <si>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</si>
  <si>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</si>
  <si>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</si>
  <si>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</si>
  <si>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</si>
  <si>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</si>
  <si>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</si>
  <si>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</si>
  <si>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</si>
  <si>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</si>
  <si>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</si>
  <si>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</si>
  <si>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</si>
  <si>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</si>
  <si>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</si>
  <si>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</si>
  <si>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</si>
  <si>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</si>
  <si>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</si>
  <si>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</si>
  <si>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</si>
  <si>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</si>
  <si>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</si>
  <si>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</si>
  <si>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</si>
  <si>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</si>
  <si>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</si>
  <si>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</si>
  <si>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</si>
  <si>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</si>
  <si>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</si>
  <si>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</si>
  <si>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</si>
  <si>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</si>
  <si>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</si>
  <si>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</si>
  <si>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</si>
  <si>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</si>
  <si>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</si>
  <si>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</si>
  <si>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</si>
  <si>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</si>
  <si>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</si>
  <si>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</si>
  <si>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</si>
  <si>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</si>
  <si>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</si>
  <si>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</si>
  <si>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</si>
  <si>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</si>
  <si>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</si>
  <si>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</si>
  <si>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</si>
  <si>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</si>
  <si>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</si>
  <si>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</si>
  <si>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</si>
  <si>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</si>
  <si>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</si>
  <si>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</si>
  <si>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</si>
  <si>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</si>
  <si>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</si>
  <si>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</si>
  <si>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</si>
  <si>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</si>
  <si>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</si>
  <si>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</si>
  <si>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</si>
  <si>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</si>
  <si>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</si>
  <si>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</si>
  <si>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</si>
  <si>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</si>
  <si>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</si>
  <si>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</si>
  <si>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</si>
  <si>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</si>
  <si>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</si>
  <si>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</si>
  <si>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</si>
  <si>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</si>
  <si>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</si>
  <si>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</si>
  <si>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</si>
  <si>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</si>
  <si>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</si>
  <si>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</si>
  <si>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</si>
  <si>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</si>
  <si>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</si>
  <si>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</si>
  <si>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</si>
  <si>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</si>
  <si>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</si>
  <si>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</si>
  <si>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</si>
  <si>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</si>
  <si>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</si>
  <si>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</si>
  <si>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</si>
  <si>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</si>
  <si>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</si>
  <si>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</si>
  <si>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</si>
  <si>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</si>
  <si>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</si>
  <si>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</si>
  <si>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</si>
  <si>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</si>
  <si>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</si>
  <si>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</si>
  <si>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</si>
  <si>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</si>
  <si>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</si>
  <si>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</si>
  <si>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</si>
  <si>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</si>
  <si>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</si>
  <si>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</si>
  <si>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</si>
  <si>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</si>
  <si>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</si>
  <si>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</si>
  <si>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</si>
  <si>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</si>
  <si>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</si>
  <si>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</si>
  <si>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</si>
  <si>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</si>
  <si>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</si>
  <si>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</si>
  <si>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</si>
  <si>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</si>
  <si>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</si>
  <si>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</si>
  <si>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</si>
  <si>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</si>
  <si>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</si>
  <si>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</si>
  <si>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</si>
  <si>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</si>
  <si>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</si>
  <si>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</si>
  <si>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</si>
  <si>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</si>
  <si>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</si>
  <si>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</si>
  <si>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</si>
  <si>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</si>
  <si>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</si>
  <si>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</si>
  <si>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</si>
  <si>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</si>
  <si>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</si>
  <si>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</si>
  <si>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</si>
  <si>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</si>
  <si>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</si>
  <si>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</si>
  <si>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</si>
  <si>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</si>
  <si>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</si>
  <si>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</si>
  <si>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</si>
  <si>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</si>
  <si>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</si>
  <si>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</si>
  <si>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</si>
  <si>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</si>
  <si>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</si>
  <si>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</si>
  <si>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</si>
  <si>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</si>
  <si>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</si>
  <si>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</si>
  <si>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</si>
  <si>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</si>
  <si>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</si>
  <si>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</si>
  <si>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</si>
  <si>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</si>
  <si>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</si>
  <si>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</si>
  <si>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</si>
  <si>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</si>
  <si>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</si>
  <si>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</si>
  <si>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</si>
  <si>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</si>
  <si>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</si>
  <si>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</si>
  <si>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</si>
  <si>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</si>
  <si>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</si>
  <si>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</si>
  <si>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</si>
  <si>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</si>
  <si>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</si>
  <si>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</si>
  <si>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</si>
  <si>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</si>
  <si>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</si>
  <si>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</si>
  <si>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</si>
  <si>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</si>
  <si>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</si>
  <si>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</si>
  <si>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</si>
  <si>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</si>
  <si>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</si>
  <si>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</si>
  <si>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</si>
  <si>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</si>
  <si>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</si>
  <si>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</si>
  <si>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</si>
  <si>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</si>
  <si>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</si>
  <si>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</si>
  <si>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</si>
  <si>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</si>
  <si>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</si>
  <si>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</si>
  <si>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</si>
  <si>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</si>
  <si>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</si>
  <si>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</si>
  <si>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</si>
  <si>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</si>
  <si>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</si>
  <si>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</si>
  <si>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</si>
  <si>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</si>
  <si>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</si>
  <si>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</si>
  <si>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</si>
  <si>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</si>
  <si>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</si>
  <si>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</si>
  <si>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</si>
  <si>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</si>
  <si>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</si>
  <si>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</si>
  <si>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</si>
  <si>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</si>
  <si>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</si>
  <si>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</si>
  <si>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</si>
  <si>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</si>
  <si>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</si>
  <si>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</si>
  <si>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</si>
  <si>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</si>
  <si>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</si>
  <si>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</si>
  <si>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</si>
  <si>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</si>
  <si>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</si>
  <si>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</si>
  <si>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</si>
  <si>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</si>
  <si>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</si>
  <si>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</si>
  <si>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</si>
  <si>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</si>
  <si>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</si>
  <si>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</si>
  <si>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</si>
  <si>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</si>
  <si>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</si>
  <si>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</si>
  <si>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</si>
  <si>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</si>
  <si>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</si>
  <si>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</si>
  <si>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</si>
  <si>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</si>
  <si>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</si>
  <si>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</si>
  <si>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</si>
  <si>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</si>
  <si>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</si>
  <si>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</si>
  <si>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</si>
  <si>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</si>
  <si>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</si>
  <si>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</si>
  <si>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</si>
  <si>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</si>
  <si>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</si>
  <si>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</si>
  <si>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</si>
  <si>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</si>
  <si>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</si>
  <si>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</si>
  <si>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</si>
  <si>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</si>
  <si>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</si>
  <si>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</si>
  <si>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</si>
  <si>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</si>
  <si>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</si>
  <si>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</si>
  <si>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</si>
  <si>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</si>
  <si>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</si>
  <si>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</si>
  <si>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</si>
  <si>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</si>
  <si>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</si>
  <si>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</si>
  <si>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</si>
  <si>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</si>
  <si>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</si>
  <si>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</si>
  <si>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</si>
  <si>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</si>
  <si>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</si>
  <si>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</si>
  <si>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</si>
  <si>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</si>
  <si>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</si>
  <si>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Obveznik: CROATIA AIRLINES d.d.</t>
  </si>
  <si>
    <t>Obveznik:  CROATIA AIRLINES d.d.</t>
  </si>
  <si>
    <t>BDO CROATIA d.o.o.</t>
  </si>
  <si>
    <t>VEDRANA STIPIĆ</t>
  </si>
  <si>
    <t>u razdoblju 1.1.2024 do 30.6.2024</t>
  </si>
  <si>
    <t>stanje na dan 30.6.2024</t>
  </si>
  <si>
    <t xml:space="preserve">BILJEŠKE UZ FINANCIJSKE IZVJEŠTAJE - TFI
(koji se sastavljaju za tromjesečna razdoblja)
Naziv izdavatelja:   CROATIA AIRLINES D.D.
OIB:   24640993045
Izvještajno razdoblje: 1.1.-30.6.2024.
Međunarodna udruga za zračni prijevoz (IATA) u 2024. godini očekuje rekordnih pet milijardi putnika, uz očekivanu neto dobit od 30,5 milijardi dolara. Međutim, profitne marže i zarada po putniku i dalje su na niskim razinama, dok je povrat na uloženi kapital znatno ispod cijene kapitala. 
Croatia Airlines tijekom ove ljetne sezone povezuje Hrvatsku s ukupno 28 međunarodnih odredišta, odnosno 29 europskih zračnih luka, a zrakoplovi će pritom letjeti na 50 međunarodnih linija. Ukupno je planirano više od 17.200 letova, a u ponudi je gotovo 2 milijuna sjedala. Ljetnim redom letenja Croatia Airlines proširio je mrežu međunarodnih odredišta, uvođenjem novih međunarodnih linija iz Zagreba i Splita.
U drugom kvartalu 2024. godine Croatia Airlines ostvario je neto dobit od 420 tisuća EUR. Kako je neto gubitak razdoblja niske potražnje u prvom kvartalu 2024. godine iznosio 9,92 milijuna EUR, ostvareni neto gubitak razdoblja siječanj-lipanj 2024. godine iznosi 9,5 milijuna EUR. 
Tranzicijsko razdoblje početka zamjene flote karakterizira povećana troškovna izloženost svih, a posebice operativnih poslovnih procesa. Kako bi se obavio planirani red letenja bilo je nužno kratkoročno unajmljivanje zrakoplova. Povećani troškovi održavanja zrakoplova i kratkoročnog najma zrakoplova u odnosu na isto razdoblje prošle godine iznose 10,4 milijuna EUR, dakle, veći su od iskazanog neto gubitka promatranog razdoblja. 
U razdoblju siječanj-lipanj 2024. godine intenzivno su se nastavile aktivnosti vezane za prihvat prva dva nova zrakoplova Airbus A220 u flotu, a sukladno „Post Covid“ strategiji Croatia Airlinesa. Prvi zrakoplov Airbus A220 u flotu dolazi 30. srpnja 2024. godine, a drugi u prosincu 2024. godine.
Obnova flote nacionalnog avioprijevoznika označava novo razdoblje poslovanja kojeg će krasiti i osvježen vizualni identitet putem kojeg će se uz još veću orijentiranost na putnike i ciljanu javnost, a prateći trendove i navike putnika, nastaviti dosljedno komunicirati vrijednosti Croatia Airlinesa.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</si>
</sst>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1"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45473</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951</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465</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466</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4"/>
  <sheetViews>
    <sheetView topLeftCell="A66" zoomScaleNormal="100" zoomScaleSheetLayoutView="110" workbookViewId="0">
      <selection activeCell="A74" sqref="A74:I133"/>
    </sheetView>
  </sheetViews>
  <sheetFormatPr defaultColWidth="8.85546875" defaultRowHeight="12.75" x14ac:dyDescent="0.2"/>
  <cols>
    <col min="1" max="7" width="8.85546875" style="119"/>
    <col min="8" max="9" width="16.42578125" style="122" customWidth="1"/>
    <col min="10" max="10" width="10.28515625" style="119" bestFit="1" customWidth="1"/>
    <col min="11" max="12" width="8.85546875" style="119"/>
    <col min="13" max="13" width="11.140625" style="119" bestFit="1" customWidth="1"/>
    <col min="14" max="14" width="8.85546875" style="119"/>
    <col min="15" max="15" width="10.140625" style="119" bestFit="1" customWidth="1"/>
    <col min="16" max="16384" width="8.85546875" style="119"/>
  </cols>
  <sheetData>
    <row r="1" spans="1:9" x14ac:dyDescent="0.2">
      <c r="A1" s="185" t="s">
        <v>1</v>
      </c>
      <c r="B1" s="186"/>
      <c r="C1" s="186"/>
      <c r="D1" s="186"/>
      <c r="E1" s="186"/>
      <c r="F1" s="186"/>
      <c r="G1" s="186"/>
      <c r="H1" s="186"/>
      <c r="I1" s="186"/>
    </row>
    <row r="2" spans="1:9" x14ac:dyDescent="0.2">
      <c r="A2" s="187" t="s">
        <v>468</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114315630</v>
      </c>
      <c r="I9" s="120">
        <f>I10+I17+I27+I38+I43</f>
        <v>121872614</v>
      </c>
    </row>
    <row r="10" spans="1:9" ht="12.75" customHeight="1" x14ac:dyDescent="0.2">
      <c r="A10" s="183" t="s">
        <v>5</v>
      </c>
      <c r="B10" s="183"/>
      <c r="C10" s="183"/>
      <c r="D10" s="183"/>
      <c r="E10" s="183"/>
      <c r="F10" s="183"/>
      <c r="G10" s="12">
        <v>3</v>
      </c>
      <c r="H10" s="120">
        <f>H11+H12+H13+H14+H15+H16</f>
        <v>776679</v>
      </c>
      <c r="I10" s="120">
        <f>I11+I12+I13+I14+I15+I16</f>
        <v>1212940</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380491</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787264</v>
      </c>
    </row>
    <row r="16" spans="1:9" ht="12.75" customHeight="1" x14ac:dyDescent="0.2">
      <c r="A16" s="182" t="s">
        <v>11</v>
      </c>
      <c r="B16" s="182"/>
      <c r="C16" s="182"/>
      <c r="D16" s="182"/>
      <c r="E16" s="182"/>
      <c r="F16" s="182"/>
      <c r="G16" s="11">
        <v>9</v>
      </c>
      <c r="H16" s="18">
        <f>45707</f>
        <v>45707</v>
      </c>
      <c r="I16" s="18">
        <v>45185</v>
      </c>
    </row>
    <row r="17" spans="1:9" ht="12.75" customHeight="1" x14ac:dyDescent="0.2">
      <c r="A17" s="183" t="s">
        <v>12</v>
      </c>
      <c r="B17" s="183"/>
      <c r="C17" s="183"/>
      <c r="D17" s="183"/>
      <c r="E17" s="183"/>
      <c r="F17" s="183"/>
      <c r="G17" s="12">
        <v>10</v>
      </c>
      <c r="H17" s="120">
        <f>H18+H19+H20+H21+H22+H23+H24+H25+H26</f>
        <v>54844182</v>
      </c>
      <c r="I17" s="120">
        <f>I18+I19+I20+I21+I22+I23+I24+I25+I26</f>
        <v>55329432</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3389810</v>
      </c>
      <c r="I19" s="18">
        <f>1788064+1504903</f>
        <v>3292967</v>
      </c>
    </row>
    <row r="20" spans="1:9" ht="12.75" customHeight="1" x14ac:dyDescent="0.2">
      <c r="A20" s="182" t="s">
        <v>15</v>
      </c>
      <c r="B20" s="182"/>
      <c r="C20" s="182"/>
      <c r="D20" s="182"/>
      <c r="E20" s="182"/>
      <c r="F20" s="182"/>
      <c r="G20" s="11">
        <v>13</v>
      </c>
      <c r="H20" s="18">
        <v>6457071</v>
      </c>
      <c r="I20" s="18">
        <v>7209790</v>
      </c>
    </row>
    <row r="21" spans="1:9" ht="12.75" customHeight="1" x14ac:dyDescent="0.2">
      <c r="A21" s="182" t="s">
        <v>16</v>
      </c>
      <c r="B21" s="182"/>
      <c r="C21" s="182"/>
      <c r="D21" s="182"/>
      <c r="E21" s="182"/>
      <c r="F21" s="182"/>
      <c r="G21" s="11">
        <v>14</v>
      </c>
      <c r="H21" s="18">
        <v>37412604</v>
      </c>
      <c r="I21" s="18">
        <f>88032+33760534+97656</f>
        <v>33946222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3566515</v>
      </c>
    </row>
    <row r="24" spans="1:9" ht="12.75" customHeight="1" x14ac:dyDescent="0.2">
      <c r="A24" s="182" t="s">
        <v>19</v>
      </c>
      <c r="B24" s="182"/>
      <c r="C24" s="182"/>
      <c r="D24" s="182"/>
      <c r="E24" s="182"/>
      <c r="F24" s="182"/>
      <c r="G24" s="11">
        <v>17</v>
      </c>
      <c r="H24" s="18">
        <v>43161</v>
      </c>
      <c r="I24" s="18">
        <v>97041</v>
      </c>
    </row>
    <row r="25" spans="1:9" ht="12.75" customHeight="1" x14ac:dyDescent="0.2">
      <c r="A25" s="182" t="s">
        <v>20</v>
      </c>
      <c r="B25" s="182"/>
      <c r="C25" s="182"/>
      <c r="D25" s="182"/>
      <c r="E25" s="182"/>
      <c r="F25" s="182"/>
      <c r="G25" s="11">
        <v>18</v>
      </c>
      <c r="H25" s="18">
        <v>2592803</v>
      </c>
      <c r="I25" s="18">
        <v>4595238</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12512112</v>
      </c>
      <c r="I27" s="120">
        <f>SUM(I28:I37)</f>
        <v>13007923</v>
      </c>
    </row>
    <row r="28" spans="1:9" ht="12.75" customHeight="1" x14ac:dyDescent="0.2">
      <c r="A28" s="182" t="s">
        <v>23</v>
      </c>
      <c r="B28" s="182"/>
      <c r="C28" s="182"/>
      <c r="D28" s="182"/>
      <c r="E28" s="182"/>
      <c r="F28" s="182"/>
      <c r="G28" s="11">
        <v>21</v>
      </c>
      <c r="H28" s="18">
        <v>346460</v>
      </c>
      <c r="I28" s="18">
        <v>346460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12140652</v>
      </c>
      <c r="I35" s="18">
        <v>12636463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46182657</v>
      </c>
      <c r="I38" s="120">
        <f>I39+I40+I41+I42</f>
        <v>52322319</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52322319</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110566158</v>
      </c>
      <c r="I44" s="120">
        <f>I45+I53+I60+I70</f>
        <v>119055903</v>
      </c>
    </row>
    <row r="45" spans="1:9" ht="12.75" customHeight="1" x14ac:dyDescent="0.2">
      <c r="A45" s="183" t="s">
        <v>39</v>
      </c>
      <c r="B45" s="183"/>
      <c r="C45" s="183"/>
      <c r="D45" s="183"/>
      <c r="E45" s="183"/>
      <c r="F45" s="183"/>
      <c r="G45" s="12">
        <v>38</v>
      </c>
      <c r="H45" s="120">
        <f>SUM(H46:H52)</f>
        <v>9891526</v>
      </c>
      <c r="I45" s="120">
        <f>SUM(I46:I52)</f>
        <v>10521550</v>
      </c>
    </row>
    <row r="46" spans="1:9" ht="12.75" customHeight="1" x14ac:dyDescent="0.2">
      <c r="A46" s="182" t="s">
        <v>40</v>
      </c>
      <c r="B46" s="182"/>
      <c r="C46" s="182"/>
      <c r="D46" s="182"/>
      <c r="E46" s="182"/>
      <c r="F46" s="182"/>
      <c r="G46" s="11">
        <v>39</v>
      </c>
      <c r="H46" s="18">
        <v>9602050</v>
      </c>
      <c r="I46" s="18">
        <v>10521550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13" ht="12.75" customHeight="1" x14ac:dyDescent="0.2">
      <c r="A49" s="182" t="s">
        <v>43</v>
      </c>
      <c r="B49" s="182"/>
      <c r="C49" s="182"/>
      <c r="D49" s="182"/>
      <c r="E49" s="182"/>
      <c r="F49" s="182"/>
      <c r="G49" s="11">
        <v>42</v>
      </c>
      <c r="H49" s="18">
        <v>0</v>
      </c>
      <c r="I49" s="18">
        <v>0</v>
      </c>
    </row>
    <row r="50" spans="1:13" ht="12.75" customHeight="1" x14ac:dyDescent="0.2">
      <c r="A50" s="182" t="s">
        <v>44</v>
      </c>
      <c r="B50" s="182"/>
      <c r="C50" s="182"/>
      <c r="D50" s="182"/>
      <c r="E50" s="182"/>
      <c r="F50" s="182"/>
      <c r="G50" s="11">
        <v>43</v>
      </c>
      <c r="H50" s="18">
        <v>0</v>
      </c>
      <c r="I50" s="18">
        <v>0</v>
      </c>
    </row>
    <row r="51" spans="1:13" ht="12.75" customHeight="1" x14ac:dyDescent="0.2">
      <c r="A51" s="182" t="s">
        <v>45</v>
      </c>
      <c r="B51" s="182"/>
      <c r="C51" s="182"/>
      <c r="D51" s="182"/>
      <c r="E51" s="182"/>
      <c r="F51" s="182"/>
      <c r="G51" s="11">
        <v>44</v>
      </c>
      <c r="H51" s="18">
        <v>289476</v>
      </c>
      <c r="I51" s="18">
        <v>0</v>
      </c>
    </row>
    <row r="52" spans="1:13" ht="12.75" customHeight="1" x14ac:dyDescent="0.2">
      <c r="A52" s="182" t="s">
        <v>46</v>
      </c>
      <c r="B52" s="182"/>
      <c r="C52" s="182"/>
      <c r="D52" s="182"/>
      <c r="E52" s="182"/>
      <c r="F52" s="182"/>
      <c r="G52" s="11">
        <v>45</v>
      </c>
      <c r="H52" s="18">
        <v>0</v>
      </c>
      <c r="I52" s="18">
        <v>0</v>
      </c>
    </row>
    <row r="53" spans="1:13" ht="12.75" customHeight="1" x14ac:dyDescent="0.2">
      <c r="A53" s="183" t="s">
        <v>47</v>
      </c>
      <c r="B53" s="183"/>
      <c r="C53" s="183"/>
      <c r="D53" s="183"/>
      <c r="E53" s="183"/>
      <c r="F53" s="183"/>
      <c r="G53" s="12">
        <v>46</v>
      </c>
      <c r="H53" s="120">
        <f>SUM(H54:H59)</f>
        <v>17659011</v>
      </c>
      <c r="I53" s="120">
        <f>SUM(I54:I59)</f>
        <v>30977873</v>
      </c>
    </row>
    <row r="54" spans="1:13" ht="12.75" customHeight="1" x14ac:dyDescent="0.2">
      <c r="A54" s="182" t="s">
        <v>48</v>
      </c>
      <c r="B54" s="182"/>
      <c r="C54" s="182"/>
      <c r="D54" s="182"/>
      <c r="E54" s="182"/>
      <c r="F54" s="182"/>
      <c r="G54" s="11">
        <v>47</v>
      </c>
      <c r="H54" s="18">
        <v>1847</v>
      </c>
      <c r="I54" s="18">
        <v>93842</v>
      </c>
    </row>
    <row r="55" spans="1:13" ht="12.75" customHeight="1" x14ac:dyDescent="0.2">
      <c r="A55" s="182" t="s">
        <v>49</v>
      </c>
      <c r="B55" s="182"/>
      <c r="C55" s="182"/>
      <c r="D55" s="182"/>
      <c r="E55" s="182"/>
      <c r="F55" s="182"/>
      <c r="G55" s="11">
        <v>48</v>
      </c>
      <c r="H55" s="18">
        <v>0</v>
      </c>
      <c r="I55" s="18">
        <v>0</v>
      </c>
    </row>
    <row r="56" spans="1:13" ht="12.75" customHeight="1" x14ac:dyDescent="0.2">
      <c r="A56" s="182" t="s">
        <v>50</v>
      </c>
      <c r="B56" s="182"/>
      <c r="C56" s="182"/>
      <c r="D56" s="182"/>
      <c r="E56" s="182"/>
      <c r="F56" s="182"/>
      <c r="G56" s="11">
        <v>49</v>
      </c>
      <c r="H56" s="18">
        <v>14571242</v>
      </c>
      <c r="I56" s="18">
        <v>24387275</v>
      </c>
    </row>
    <row r="57" spans="1:13" ht="12.75" customHeight="1" x14ac:dyDescent="0.2">
      <c r="A57" s="182" t="s">
        <v>51</v>
      </c>
      <c r="B57" s="182"/>
      <c r="C57" s="182"/>
      <c r="D57" s="182"/>
      <c r="E57" s="182"/>
      <c r="F57" s="182"/>
      <c r="G57" s="11">
        <v>50</v>
      </c>
      <c r="H57" s="18">
        <f>12490+1</f>
        <v>12491</v>
      </c>
      <c r="I57" s="18">
        <v>32978</v>
      </c>
    </row>
    <row r="58" spans="1:13" ht="12.75" customHeight="1" x14ac:dyDescent="0.2">
      <c r="A58" s="182" t="s">
        <v>52</v>
      </c>
      <c r="B58" s="182"/>
      <c r="C58" s="182"/>
      <c r="D58" s="182"/>
      <c r="E58" s="182"/>
      <c r="F58" s="182"/>
      <c r="G58" s="11">
        <v>51</v>
      </c>
      <c r="H58" s="18">
        <v>1571164</v>
      </c>
      <c r="I58" s="18">
        <v>3005907</v>
      </c>
    </row>
    <row r="59" spans="1:13" ht="12.75" customHeight="1" x14ac:dyDescent="0.2">
      <c r="A59" s="182" t="s">
        <v>53</v>
      </c>
      <c r="B59" s="182"/>
      <c r="C59" s="182"/>
      <c r="D59" s="182"/>
      <c r="E59" s="182"/>
      <c r="F59" s="182"/>
      <c r="G59" s="11">
        <v>52</v>
      </c>
      <c r="H59" s="18">
        <v>1502267</v>
      </c>
      <c r="I59" s="18">
        <v>3457871</v>
      </c>
      <c r="M59" s="122"/>
    </row>
    <row r="60" spans="1:13" ht="12.75" customHeight="1" x14ac:dyDescent="0.2">
      <c r="A60" s="183" t="s">
        <v>54</v>
      </c>
      <c r="B60" s="183"/>
      <c r="C60" s="183"/>
      <c r="D60" s="183"/>
      <c r="E60" s="183"/>
      <c r="F60" s="183"/>
      <c r="G60" s="12">
        <v>53</v>
      </c>
      <c r="H60" s="120">
        <f>SUM(H61:H69)</f>
        <v>3896084</v>
      </c>
      <c r="I60" s="120">
        <f>SUM(I61:I69)</f>
        <v>5200568</v>
      </c>
    </row>
    <row r="61" spans="1:13" ht="12.75" customHeight="1" x14ac:dyDescent="0.2">
      <c r="A61" s="182" t="s">
        <v>23</v>
      </c>
      <c r="B61" s="182"/>
      <c r="C61" s="182"/>
      <c r="D61" s="182"/>
      <c r="E61" s="182"/>
      <c r="F61" s="182"/>
      <c r="G61" s="11">
        <v>54</v>
      </c>
      <c r="H61" s="18">
        <v>0</v>
      </c>
      <c r="I61" s="18">
        <v>0</v>
      </c>
    </row>
    <row r="62" spans="1:13" ht="27.6" customHeight="1" x14ac:dyDescent="0.2">
      <c r="A62" s="182" t="s">
        <v>24</v>
      </c>
      <c r="B62" s="182"/>
      <c r="C62" s="182"/>
      <c r="D62" s="182"/>
      <c r="E62" s="182"/>
      <c r="F62" s="182"/>
      <c r="G62" s="11">
        <v>55</v>
      </c>
      <c r="H62" s="18">
        <v>0</v>
      </c>
      <c r="I62" s="18">
        <v>0</v>
      </c>
    </row>
    <row r="63" spans="1:13" ht="12.75" customHeight="1" x14ac:dyDescent="0.2">
      <c r="A63" s="182" t="s">
        <v>25</v>
      </c>
      <c r="B63" s="182"/>
      <c r="C63" s="182"/>
      <c r="D63" s="182"/>
      <c r="E63" s="182"/>
      <c r="F63" s="182"/>
      <c r="G63" s="11">
        <v>56</v>
      </c>
      <c r="H63" s="18">
        <v>250000</v>
      </c>
      <c r="I63" s="18">
        <v>100000</v>
      </c>
    </row>
    <row r="64" spans="1:13"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3646059</v>
      </c>
      <c r="I68" s="18">
        <v>5100543</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79119537</v>
      </c>
      <c r="I70" s="18">
        <v>72355912</v>
      </c>
    </row>
    <row r="71" spans="1:9" ht="12.75" customHeight="1" x14ac:dyDescent="0.2">
      <c r="A71" s="198" t="s">
        <v>58</v>
      </c>
      <c r="B71" s="198"/>
      <c r="C71" s="198"/>
      <c r="D71" s="198"/>
      <c r="E71" s="198"/>
      <c r="F71" s="198"/>
      <c r="G71" s="11">
        <v>64</v>
      </c>
      <c r="H71" s="18">
        <v>1810709</v>
      </c>
      <c r="I71" s="18">
        <v>9989715</v>
      </c>
    </row>
    <row r="72" spans="1:9" ht="12.75" customHeight="1" x14ac:dyDescent="0.2">
      <c r="A72" s="184" t="s">
        <v>304</v>
      </c>
      <c r="B72" s="184"/>
      <c r="C72" s="184"/>
      <c r="D72" s="184"/>
      <c r="E72" s="184"/>
      <c r="F72" s="184"/>
      <c r="G72" s="12">
        <v>65</v>
      </c>
      <c r="H72" s="120">
        <f>H8+H9+H44+H71</f>
        <v>226692497</v>
      </c>
      <c r="I72" s="120">
        <f>I8+I9+I44+I71</f>
        <v>250918232</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14479705</v>
      </c>
      <c r="I75" s="121">
        <f>I76+I77+I78+I84+I85+I91+I94+I97</f>
        <v>4912366</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0</v>
      </c>
      <c r="I78" s="121">
        <f>SUM(I79:I83)</f>
        <v>0</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15" ht="12.75" customHeight="1" x14ac:dyDescent="0.2">
      <c r="A81" s="182" t="s">
        <v>66</v>
      </c>
      <c r="B81" s="182"/>
      <c r="C81" s="182"/>
      <c r="D81" s="182"/>
      <c r="E81" s="182"/>
      <c r="F81" s="182"/>
      <c r="G81" s="11">
        <v>73</v>
      </c>
      <c r="H81" s="18">
        <v>0</v>
      </c>
      <c r="I81" s="18">
        <v>0</v>
      </c>
    </row>
    <row r="82" spans="1:15" ht="12.75" customHeight="1" x14ac:dyDescent="0.2">
      <c r="A82" s="182" t="s">
        <v>67</v>
      </c>
      <c r="B82" s="182"/>
      <c r="C82" s="182"/>
      <c r="D82" s="182"/>
      <c r="E82" s="182"/>
      <c r="F82" s="182"/>
      <c r="G82" s="11">
        <v>74</v>
      </c>
      <c r="H82" s="18">
        <v>0</v>
      </c>
      <c r="I82" s="18">
        <v>0</v>
      </c>
    </row>
    <row r="83" spans="1:15" ht="12.75" customHeight="1" x14ac:dyDescent="0.2">
      <c r="A83" s="182" t="s">
        <v>68</v>
      </c>
      <c r="B83" s="182"/>
      <c r="C83" s="182"/>
      <c r="D83" s="182"/>
      <c r="E83" s="182"/>
      <c r="F83" s="182"/>
      <c r="G83" s="11">
        <v>75</v>
      </c>
      <c r="H83" s="18">
        <v>0</v>
      </c>
      <c r="I83" s="18">
        <v>0</v>
      </c>
    </row>
    <row r="84" spans="1:15" ht="12.75" customHeight="1" x14ac:dyDescent="0.2">
      <c r="A84" s="199" t="s">
        <v>69</v>
      </c>
      <c r="B84" s="199"/>
      <c r="C84" s="199"/>
      <c r="D84" s="199"/>
      <c r="E84" s="199"/>
      <c r="F84" s="199"/>
      <c r="G84" s="46">
        <v>76</v>
      </c>
      <c r="H84" s="47">
        <v>412184</v>
      </c>
      <c r="I84" s="47">
        <v>412184</v>
      </c>
    </row>
    <row r="85" spans="1:15" ht="12.75" customHeight="1" x14ac:dyDescent="0.2">
      <c r="A85" s="183" t="s">
        <v>446</v>
      </c>
      <c r="B85" s="183"/>
      <c r="C85" s="183"/>
      <c r="D85" s="183"/>
      <c r="E85" s="183"/>
      <c r="F85" s="183"/>
      <c r="G85" s="12">
        <v>77</v>
      </c>
      <c r="H85" s="120">
        <f>H86+H87+H88+H89+H90</f>
        <v>63476</v>
      </c>
      <c r="I85" s="120">
        <f>I86+I87+I88+I89+I90</f>
        <v>0</v>
      </c>
    </row>
    <row r="86" spans="1:15" ht="25.5" customHeight="1" x14ac:dyDescent="0.2">
      <c r="A86" s="182" t="s">
        <v>447</v>
      </c>
      <c r="B86" s="182"/>
      <c r="C86" s="182"/>
      <c r="D86" s="182"/>
      <c r="E86" s="182"/>
      <c r="F86" s="182"/>
      <c r="G86" s="11">
        <v>78</v>
      </c>
      <c r="H86" s="18">
        <v>63476</v>
      </c>
      <c r="I86" s="18">
        <v>0</v>
      </c>
    </row>
    <row r="87" spans="1:15" ht="12.75" customHeight="1" x14ac:dyDescent="0.2">
      <c r="A87" s="182" t="s">
        <v>70</v>
      </c>
      <c r="B87" s="182"/>
      <c r="C87" s="182"/>
      <c r="D87" s="182"/>
      <c r="E87" s="182"/>
      <c r="F87" s="182"/>
      <c r="G87" s="11">
        <v>79</v>
      </c>
      <c r="H87" s="18">
        <v>0</v>
      </c>
      <c r="I87" s="18">
        <v>0</v>
      </c>
    </row>
    <row r="88" spans="1:15" ht="12.75" customHeight="1" x14ac:dyDescent="0.2">
      <c r="A88" s="182" t="s">
        <v>71</v>
      </c>
      <c r="B88" s="182"/>
      <c r="C88" s="182"/>
      <c r="D88" s="182"/>
      <c r="E88" s="182"/>
      <c r="F88" s="182"/>
      <c r="G88" s="11">
        <v>80</v>
      </c>
      <c r="H88" s="18">
        <v>0</v>
      </c>
      <c r="I88" s="18">
        <v>0</v>
      </c>
      <c r="O88" s="122"/>
    </row>
    <row r="89" spans="1:15" ht="12.75" customHeight="1" x14ac:dyDescent="0.2">
      <c r="A89" s="182" t="s">
        <v>350</v>
      </c>
      <c r="B89" s="182"/>
      <c r="C89" s="182"/>
      <c r="D89" s="182"/>
      <c r="E89" s="182"/>
      <c r="F89" s="182"/>
      <c r="G89" s="11">
        <v>81</v>
      </c>
      <c r="H89" s="18">
        <v>0</v>
      </c>
      <c r="I89" s="18">
        <v>0</v>
      </c>
    </row>
    <row r="90" spans="1:15" ht="12.75" customHeight="1" x14ac:dyDescent="0.2">
      <c r="A90" s="182" t="s">
        <v>351</v>
      </c>
      <c r="B90" s="182"/>
      <c r="C90" s="182"/>
      <c r="D90" s="182"/>
      <c r="E90" s="182"/>
      <c r="F90" s="182"/>
      <c r="G90" s="11">
        <v>82</v>
      </c>
      <c r="H90" s="18">
        <v>0</v>
      </c>
      <c r="I90" s="18">
        <v>0</v>
      </c>
      <c r="O90" s="122"/>
    </row>
    <row r="91" spans="1:15" ht="12.75" customHeight="1" x14ac:dyDescent="0.2">
      <c r="A91" s="183" t="s">
        <v>352</v>
      </c>
      <c r="B91" s="183"/>
      <c r="C91" s="183"/>
      <c r="D91" s="183"/>
      <c r="E91" s="183"/>
      <c r="F91" s="183"/>
      <c r="G91" s="12">
        <v>83</v>
      </c>
      <c r="H91" s="120">
        <f>H92-H93</f>
        <v>-80636035</v>
      </c>
      <c r="I91" s="120">
        <f>I92-I93</f>
        <v>-78383908</v>
      </c>
    </row>
    <row r="92" spans="1:15" ht="12.75" customHeight="1" x14ac:dyDescent="0.2">
      <c r="A92" s="182" t="s">
        <v>72</v>
      </c>
      <c r="B92" s="182"/>
      <c r="C92" s="182"/>
      <c r="D92" s="182"/>
      <c r="E92" s="182"/>
      <c r="F92" s="182"/>
      <c r="G92" s="11">
        <v>84</v>
      </c>
      <c r="H92" s="18">
        <v>0</v>
      </c>
      <c r="I92" s="18">
        <v>0</v>
      </c>
    </row>
    <row r="93" spans="1:15" ht="12.75" customHeight="1" x14ac:dyDescent="0.2">
      <c r="A93" s="182" t="s">
        <v>73</v>
      </c>
      <c r="B93" s="182"/>
      <c r="C93" s="182"/>
      <c r="D93" s="182"/>
      <c r="E93" s="182"/>
      <c r="F93" s="182"/>
      <c r="G93" s="11">
        <v>85</v>
      </c>
      <c r="H93" s="18">
        <v>80636035</v>
      </c>
      <c r="I93" s="18">
        <v>78383908</v>
      </c>
    </row>
    <row r="94" spans="1:15" ht="12.75" customHeight="1" x14ac:dyDescent="0.2">
      <c r="A94" s="183" t="s">
        <v>353</v>
      </c>
      <c r="B94" s="183"/>
      <c r="C94" s="183"/>
      <c r="D94" s="183"/>
      <c r="E94" s="183"/>
      <c r="F94" s="183"/>
      <c r="G94" s="12">
        <v>86</v>
      </c>
      <c r="H94" s="120">
        <f>H95-H96</f>
        <v>2252127</v>
      </c>
      <c r="I94" s="120">
        <f>I95-I96</f>
        <v>-9503863</v>
      </c>
    </row>
    <row r="95" spans="1:15" ht="12.75" customHeight="1" x14ac:dyDescent="0.2">
      <c r="A95" s="182" t="s">
        <v>74</v>
      </c>
      <c r="B95" s="182"/>
      <c r="C95" s="182"/>
      <c r="D95" s="182"/>
      <c r="E95" s="182"/>
      <c r="F95" s="182"/>
      <c r="G95" s="11">
        <v>87</v>
      </c>
      <c r="H95" s="18">
        <v>2252127</v>
      </c>
      <c r="I95" s="18">
        <v>0</v>
      </c>
    </row>
    <row r="96" spans="1:15" ht="12.75" customHeight="1" x14ac:dyDescent="0.2">
      <c r="A96" s="182" t="s">
        <v>75</v>
      </c>
      <c r="B96" s="182"/>
      <c r="C96" s="182"/>
      <c r="D96" s="182"/>
      <c r="E96" s="182"/>
      <c r="F96" s="182"/>
      <c r="G96" s="11">
        <v>88</v>
      </c>
      <c r="H96" s="18">
        <v>0</v>
      </c>
      <c r="I96" s="18">
        <v>9503863</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53251091</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51551379</v>
      </c>
    </row>
    <row r="105" spans="1:9" ht="12.75" customHeight="1" x14ac:dyDescent="0.2">
      <c r="A105" s="184" t="s">
        <v>356</v>
      </c>
      <c r="B105" s="184"/>
      <c r="C105" s="184"/>
      <c r="D105" s="184"/>
      <c r="E105" s="184"/>
      <c r="F105" s="184"/>
      <c r="G105" s="12">
        <v>97</v>
      </c>
      <c r="H105" s="120">
        <f>SUM(H106:H116)</f>
        <v>107509303</v>
      </c>
      <c r="I105" s="120">
        <f>SUM(I106:I116)</f>
        <v>101077307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81856579</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24963780</v>
      </c>
      <c r="I111" s="18">
        <v>18234258</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884532</v>
      </c>
      <c r="I115" s="18">
        <v>979217</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57245458</v>
      </c>
      <c r="I117" s="120">
        <f>SUM(I118:I131)</f>
        <v>84188082</v>
      </c>
    </row>
    <row r="118" spans="1:9" ht="12.75" customHeight="1" x14ac:dyDescent="0.2">
      <c r="A118" s="182" t="s">
        <v>83</v>
      </c>
      <c r="B118" s="182"/>
      <c r="C118" s="182"/>
      <c r="D118" s="182"/>
      <c r="E118" s="182"/>
      <c r="F118" s="182"/>
      <c r="G118" s="11">
        <v>110</v>
      </c>
      <c r="H118" s="18">
        <v>0</v>
      </c>
      <c r="I118" s="18">
        <v>25589</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1714768</v>
      </c>
      <c r="I122" s="18">
        <v>2339085</v>
      </c>
    </row>
    <row r="123" spans="1:9" ht="12.75" customHeight="1" x14ac:dyDescent="0.2">
      <c r="A123" s="182" t="s">
        <v>88</v>
      </c>
      <c r="B123" s="182"/>
      <c r="C123" s="182"/>
      <c r="D123" s="182"/>
      <c r="E123" s="182"/>
      <c r="F123" s="182"/>
      <c r="G123" s="11">
        <v>115</v>
      </c>
      <c r="H123" s="18">
        <v>11911346</v>
      </c>
      <c r="I123" s="18">
        <v>12507249</v>
      </c>
    </row>
    <row r="124" spans="1:9" ht="12.75" customHeight="1" x14ac:dyDescent="0.2">
      <c r="A124" s="182" t="s">
        <v>89</v>
      </c>
      <c r="B124" s="182"/>
      <c r="C124" s="182"/>
      <c r="D124" s="182"/>
      <c r="E124" s="182"/>
      <c r="F124" s="182"/>
      <c r="G124" s="11">
        <v>116</v>
      </c>
      <c r="H124" s="18">
        <v>289743</v>
      </c>
      <c r="I124" s="18">
        <v>839378</v>
      </c>
    </row>
    <row r="125" spans="1:9" ht="12.75" customHeight="1" x14ac:dyDescent="0.2">
      <c r="A125" s="182" t="s">
        <v>90</v>
      </c>
      <c r="B125" s="182"/>
      <c r="C125" s="182"/>
      <c r="D125" s="182"/>
      <c r="E125" s="182"/>
      <c r="F125" s="182"/>
      <c r="G125" s="11">
        <v>117</v>
      </c>
      <c r="H125" s="18">
        <v>17101557</v>
      </c>
      <c r="I125" s="18">
        <v>24066118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1715695</v>
      </c>
      <c r="I127" s="18">
        <v>2049205</v>
      </c>
    </row>
    <row r="128" spans="1:9" x14ac:dyDescent="0.2">
      <c r="A128" s="182" t="s">
        <v>95</v>
      </c>
      <c r="B128" s="182"/>
      <c r="C128" s="182"/>
      <c r="D128" s="182"/>
      <c r="E128" s="182"/>
      <c r="F128" s="182"/>
      <c r="G128" s="11">
        <v>120</v>
      </c>
      <c r="H128" s="18">
        <v>1521362</v>
      </c>
      <c r="I128" s="18">
        <v>1912637</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22990987</v>
      </c>
      <c r="I131" s="18">
        <f>39945934+502887</f>
        <v>40448821</v>
      </c>
    </row>
    <row r="132" spans="1:9" ht="22.15" customHeight="1" x14ac:dyDescent="0.2">
      <c r="A132" s="198" t="s">
        <v>99</v>
      </c>
      <c r="B132" s="198"/>
      <c r="C132" s="198"/>
      <c r="D132" s="198"/>
      <c r="E132" s="198"/>
      <c r="F132" s="198"/>
      <c r="G132" s="11">
        <v>124</v>
      </c>
      <c r="H132" s="18">
        <v>3794934</v>
      </c>
      <c r="I132" s="18">
        <v>7489386</v>
      </c>
    </row>
    <row r="133" spans="1:9" ht="12.75" customHeight="1" x14ac:dyDescent="0.2">
      <c r="A133" s="184" t="s">
        <v>358</v>
      </c>
      <c r="B133" s="184"/>
      <c r="C133" s="184"/>
      <c r="D133" s="184"/>
      <c r="E133" s="184"/>
      <c r="F133" s="184"/>
      <c r="G133" s="12">
        <v>125</v>
      </c>
      <c r="H133" s="120">
        <f>H75+H98+H105+H117+H132</f>
        <v>226692497</v>
      </c>
      <c r="I133" s="120">
        <f>I75+I98+I105+I117+I132</f>
        <v>250918232</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1" zoomScale="85" zoomScaleNormal="85" zoomScaleSheetLayoutView="110" workbookViewId="0">
      <selection activeCell="H114" sqref="H11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464</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112833634</v>
      </c>
      <c r="I8" s="52">
        <f>SUM(I9:I13)</f>
        <v>72838881</v>
      </c>
      <c r="J8" s="52">
        <f>SUM(J9:J13)</f>
        <v>116268522</v>
      </c>
      <c r="K8" s="52">
        <f>SUM(K9:K13)</f>
        <v>72057351</v>
      </c>
    </row>
    <row r="9" spans="1:11" ht="12.75" customHeight="1" x14ac:dyDescent="0.2">
      <c r="A9" s="182" t="s">
        <v>115</v>
      </c>
      <c r="B9" s="182"/>
      <c r="C9" s="182"/>
      <c r="D9" s="182"/>
      <c r="E9" s="182"/>
      <c r="F9" s="182"/>
      <c r="G9" s="11">
        <v>2</v>
      </c>
      <c r="H9" s="53">
        <v>11668</v>
      </c>
      <c r="I9" s="53">
        <f>+H9-5947</f>
        <v>5721</v>
      </c>
      <c r="J9" s="53">
        <v>8466</v>
      </c>
      <c r="K9" s="53">
        <f>+J9-5721</f>
        <v>2745</v>
      </c>
    </row>
    <row r="10" spans="1:11" ht="12.75" customHeight="1" x14ac:dyDescent="0.2">
      <c r="A10" s="182" t="s">
        <v>116</v>
      </c>
      <c r="B10" s="182"/>
      <c r="C10" s="182"/>
      <c r="D10" s="182"/>
      <c r="E10" s="182"/>
      <c r="F10" s="182"/>
      <c r="G10" s="11">
        <v>3</v>
      </c>
      <c r="H10" s="53">
        <v>101154434</v>
      </c>
      <c r="I10" s="53">
        <f>+H10-35469891</f>
        <v>65684543</v>
      </c>
      <c r="J10" s="53">
        <v>105057889</v>
      </c>
      <c r="K10" s="53">
        <f>+J10-39937239</f>
        <v>65120650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11667532</v>
      </c>
      <c r="I13" s="53">
        <f>+H13-4518915</f>
        <v>7148617</v>
      </c>
      <c r="J13" s="53">
        <v>11202167</v>
      </c>
      <c r="K13" s="53">
        <f>+J13-4268211</f>
        <v>6933956</v>
      </c>
    </row>
    <row r="14" spans="1:11" ht="12.75" customHeight="1" x14ac:dyDescent="0.2">
      <c r="A14" s="216" t="s">
        <v>360</v>
      </c>
      <c r="B14" s="216"/>
      <c r="C14" s="216"/>
      <c r="D14" s="216"/>
      <c r="E14" s="216"/>
      <c r="F14" s="216"/>
      <c r="G14" s="12">
        <v>7</v>
      </c>
      <c r="H14" s="52">
        <f>H15+H16+H20+H24+H25+H26+H29+H36</f>
        <v>110220304</v>
      </c>
      <c r="I14" s="52">
        <f>I15+I16+I20+I24+I25+I26+I29+I36</f>
        <v>60923537</v>
      </c>
      <c r="J14" s="52">
        <f>J15+J16+J20+J24+J25+J26+J29+J36</f>
        <v>125730014</v>
      </c>
      <c r="K14" s="52">
        <f>K15+K16+K20+K24+K25+K26+K29+K36</f>
        <v>71358331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75780743</v>
      </c>
      <c r="I16" s="52">
        <f>SUM(I17:I19)</f>
        <v>42280389</v>
      </c>
      <c r="J16" s="52">
        <f>SUM(J17:J19)</f>
        <v>88870967</v>
      </c>
      <c r="K16" s="52">
        <f>SUM(K17:K19)</f>
        <v>51417589</v>
      </c>
    </row>
    <row r="17" spans="1:11" ht="12.75" customHeight="1" x14ac:dyDescent="0.2">
      <c r="A17" s="217" t="s">
        <v>120</v>
      </c>
      <c r="B17" s="217"/>
      <c r="C17" s="217"/>
      <c r="D17" s="217"/>
      <c r="E17" s="217"/>
      <c r="F17" s="217"/>
      <c r="G17" s="11">
        <v>10</v>
      </c>
      <c r="H17" s="53">
        <v>23627467</v>
      </c>
      <c r="I17" s="53">
        <f>+H17-10576526</f>
        <v>13050941</v>
      </c>
      <c r="J17" s="53">
        <v>26105227</v>
      </c>
      <c r="K17" s="53">
        <f>+J17-10752910</f>
        <v>15352317</v>
      </c>
    </row>
    <row r="18" spans="1:11" ht="12.75" customHeight="1" x14ac:dyDescent="0.2">
      <c r="A18" s="217" t="s">
        <v>121</v>
      </c>
      <c r="B18" s="217"/>
      <c r="C18" s="217"/>
      <c r="D18" s="217"/>
      <c r="E18" s="217"/>
      <c r="F18" s="217"/>
      <c r="G18" s="11">
        <v>11</v>
      </c>
      <c r="H18" s="53">
        <v>0</v>
      </c>
      <c r="I18" s="53">
        <v>0</v>
      </c>
      <c r="J18" s="53">
        <v>0</v>
      </c>
      <c r="K18" s="53">
        <v>0</v>
      </c>
    </row>
    <row r="19" spans="1:11" ht="12.75" customHeight="1" x14ac:dyDescent="0.2">
      <c r="A19" s="217" t="s">
        <v>122</v>
      </c>
      <c r="B19" s="217"/>
      <c r="C19" s="217"/>
      <c r="D19" s="217"/>
      <c r="E19" s="217"/>
      <c r="F19" s="217"/>
      <c r="G19" s="11">
        <v>12</v>
      </c>
      <c r="H19" s="53">
        <v>52153276</v>
      </c>
      <c r="I19" s="53">
        <f>+H19-22923828</f>
        <v>29229448</v>
      </c>
      <c r="J19" s="53">
        <v>62765740</v>
      </c>
      <c r="K19" s="53">
        <f>+J19-26700468</f>
        <v>36065272</v>
      </c>
    </row>
    <row r="20" spans="1:11" ht="12.75" customHeight="1" x14ac:dyDescent="0.2">
      <c r="A20" s="183" t="s">
        <v>441</v>
      </c>
      <c r="B20" s="183"/>
      <c r="C20" s="183"/>
      <c r="D20" s="183"/>
      <c r="E20" s="183"/>
      <c r="F20" s="183"/>
      <c r="G20" s="12">
        <v>13</v>
      </c>
      <c r="H20" s="52">
        <f>SUM(H21:H23)</f>
        <v>16980667</v>
      </c>
      <c r="I20" s="52">
        <f>SUM(I21:I23)</f>
        <v>9161027</v>
      </c>
      <c r="J20" s="52">
        <f>SUM(J21:J23)</f>
        <v>20054661</v>
      </c>
      <c r="K20" s="52">
        <f>SUM(K21:K23)</f>
        <v>10823877</v>
      </c>
    </row>
    <row r="21" spans="1:11" ht="12.75" customHeight="1" x14ac:dyDescent="0.2">
      <c r="A21" s="217" t="s">
        <v>105</v>
      </c>
      <c r="B21" s="217"/>
      <c r="C21" s="217"/>
      <c r="D21" s="217"/>
      <c r="E21" s="217"/>
      <c r="F21" s="217"/>
      <c r="G21" s="11">
        <v>14</v>
      </c>
      <c r="H21" s="53">
        <v>9534222</v>
      </c>
      <c r="I21" s="53">
        <f>+H21-4475013</f>
        <v>5059209</v>
      </c>
      <c r="J21" s="53">
        <v>11231215</v>
      </c>
      <c r="K21" s="53">
        <f>+J21-5177786+2</f>
        <v>6053431</v>
      </c>
    </row>
    <row r="22" spans="1:11" ht="12.75" customHeight="1" x14ac:dyDescent="0.2">
      <c r="A22" s="217" t="s">
        <v>106</v>
      </c>
      <c r="B22" s="217"/>
      <c r="C22" s="217"/>
      <c r="D22" s="217"/>
      <c r="E22" s="217"/>
      <c r="F22" s="217"/>
      <c r="G22" s="11">
        <v>15</v>
      </c>
      <c r="H22" s="53">
        <v>4375367</v>
      </c>
      <c r="I22" s="53">
        <f>+H22-1955881</f>
        <v>2419486</v>
      </c>
      <c r="J22" s="53">
        <v>5190615</v>
      </c>
      <c r="K22" s="53">
        <f>+J22-2365991-1</f>
        <v>2824623</v>
      </c>
    </row>
    <row r="23" spans="1:11" ht="12.75" customHeight="1" x14ac:dyDescent="0.2">
      <c r="A23" s="217" t="s">
        <v>107</v>
      </c>
      <c r="B23" s="217"/>
      <c r="C23" s="217"/>
      <c r="D23" s="217"/>
      <c r="E23" s="217"/>
      <c r="F23" s="217"/>
      <c r="G23" s="11">
        <v>16</v>
      </c>
      <c r="H23" s="53">
        <v>3071078</v>
      </c>
      <c r="I23" s="53">
        <f>+H23-1388746</f>
        <v>1682332</v>
      </c>
      <c r="J23" s="53">
        <v>3632831</v>
      </c>
      <c r="K23" s="53">
        <f>+J23-1687008</f>
        <v>1945823</v>
      </c>
    </row>
    <row r="24" spans="1:11" ht="12.75" customHeight="1" x14ac:dyDescent="0.2">
      <c r="A24" s="182" t="s">
        <v>108</v>
      </c>
      <c r="B24" s="182"/>
      <c r="C24" s="182"/>
      <c r="D24" s="182"/>
      <c r="E24" s="182"/>
      <c r="F24" s="182"/>
      <c r="G24" s="11">
        <v>17</v>
      </c>
      <c r="H24" s="53">
        <v>9519638</v>
      </c>
      <c r="I24" s="53">
        <f>+H24-4807600</f>
        <v>4712038</v>
      </c>
      <c r="J24" s="53">
        <v>9978864</v>
      </c>
      <c r="K24" s="53">
        <f>+J24-4685810</f>
        <v>5293054</v>
      </c>
    </row>
    <row r="25" spans="1:11" ht="12.75" customHeight="1" x14ac:dyDescent="0.2">
      <c r="A25" s="182" t="s">
        <v>109</v>
      </c>
      <c r="B25" s="182"/>
      <c r="C25" s="182"/>
      <c r="D25" s="182"/>
      <c r="E25" s="182"/>
      <c r="F25" s="182"/>
      <c r="G25" s="11">
        <v>18</v>
      </c>
      <c r="H25" s="53">
        <v>5416155</v>
      </c>
      <c r="I25" s="53">
        <f>+H25-2178979</f>
        <v>3237176</v>
      </c>
      <c r="J25" s="53">
        <v>6544700</v>
      </c>
      <c r="K25" s="53">
        <f>+J25-2835214</f>
        <v>3709486</v>
      </c>
    </row>
    <row r="26" spans="1:11" ht="12.75" customHeight="1" x14ac:dyDescent="0.2">
      <c r="A26" s="183" t="s">
        <v>442</v>
      </c>
      <c r="B26" s="183"/>
      <c r="C26" s="183"/>
      <c r="D26" s="183"/>
      <c r="E26" s="183"/>
      <c r="F26" s="183"/>
      <c r="G26" s="12">
        <v>19</v>
      </c>
      <c r="H26" s="52">
        <f>H27+H28</f>
        <v>9784</v>
      </c>
      <c r="I26" s="52">
        <f>I27+I28</f>
        <v>9784</v>
      </c>
      <c r="J26" s="52">
        <f>J27+J28</f>
        <v>1375</v>
      </c>
      <c r="K26" s="52">
        <f>K27+K28</f>
        <v>1375</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9784</v>
      </c>
      <c r="I28" s="53">
        <f>+H28</f>
        <v>9784</v>
      </c>
      <c r="J28" s="53">
        <v>1375</v>
      </c>
      <c r="K28" s="53">
        <f>+J28-0</f>
        <v>1375</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2513317</v>
      </c>
      <c r="I36" s="53">
        <f>+H36-990194</f>
        <v>1523123</v>
      </c>
      <c r="J36" s="53">
        <v>279447</v>
      </c>
      <c r="K36" s="53">
        <f>+J36-166497</f>
        <v>112950</v>
      </c>
    </row>
    <row r="37" spans="1:11" ht="12.75" customHeight="1" x14ac:dyDescent="0.2">
      <c r="A37" s="216" t="s">
        <v>361</v>
      </c>
      <c r="B37" s="216"/>
      <c r="C37" s="216"/>
      <c r="D37" s="216"/>
      <c r="E37" s="216"/>
      <c r="F37" s="216"/>
      <c r="G37" s="12">
        <v>30</v>
      </c>
      <c r="H37" s="52">
        <f>SUM(H38:H47)</f>
        <v>5581461</v>
      </c>
      <c r="I37" s="52">
        <f>SUM(I38:I47)</f>
        <v>1724193</v>
      </c>
      <c r="J37" s="52">
        <f>SUM(J38:J47)</f>
        <v>6352941</v>
      </c>
      <c r="K37" s="52">
        <f>SUM(K38:K47)</f>
        <v>2220033</v>
      </c>
    </row>
    <row r="38" spans="1:11" ht="12.75" customHeight="1" x14ac:dyDescent="0.2">
      <c r="A38" s="182" t="s">
        <v>131</v>
      </c>
      <c r="B38" s="182"/>
      <c r="C38" s="182"/>
      <c r="D38" s="182"/>
      <c r="E38" s="182"/>
      <c r="F38" s="182"/>
      <c r="G38" s="11">
        <v>31</v>
      </c>
      <c r="H38" s="53">
        <v>92906</v>
      </c>
      <c r="I38" s="53">
        <f>+H38</f>
        <v>92906</v>
      </c>
      <c r="J38" s="53">
        <v>137590</v>
      </c>
      <c r="K38" s="53">
        <f>+J38-0</f>
        <v>137590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3039</v>
      </c>
      <c r="K41" s="53">
        <f>+J41-1823</f>
        <v>1216</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485091</v>
      </c>
      <c r="I44" s="53">
        <f>+H44-148817</f>
        <v>336274</v>
      </c>
      <c r="J44" s="53">
        <v>1300143</v>
      </c>
      <c r="K44" s="53">
        <f>+J44-648914</f>
        <v>651229</v>
      </c>
    </row>
    <row r="45" spans="1:11" ht="12.75" customHeight="1" x14ac:dyDescent="0.2">
      <c r="A45" s="182" t="s">
        <v>138</v>
      </c>
      <c r="B45" s="182"/>
      <c r="C45" s="182"/>
      <c r="D45" s="182"/>
      <c r="E45" s="182"/>
      <c r="F45" s="182"/>
      <c r="G45" s="11">
        <v>38</v>
      </c>
      <c r="H45" s="53">
        <v>5003464</v>
      </c>
      <c r="I45" s="53">
        <f>+H45-3708451</f>
        <v>1295013</v>
      </c>
      <c r="J45" s="53">
        <v>4912169</v>
      </c>
      <c r="K45" s="53">
        <f>+J45-3482171</f>
        <v>1429998</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6503159</v>
      </c>
      <c r="I48" s="52">
        <f>SUM(I49:I55)</f>
        <v>1991530</v>
      </c>
      <c r="J48" s="52">
        <f>SUM(J49:J55)</f>
        <v>6395312</v>
      </c>
      <c r="K48" s="52">
        <f>SUM(K49:K55)</f>
        <v>2498625</v>
      </c>
    </row>
    <row r="49" spans="1:11" ht="25.15" customHeight="1" x14ac:dyDescent="0.2">
      <c r="A49" s="182" t="s">
        <v>141</v>
      </c>
      <c r="B49" s="182"/>
      <c r="C49" s="182"/>
      <c r="D49" s="182"/>
      <c r="E49" s="182"/>
      <c r="F49" s="182"/>
      <c r="G49" s="11">
        <v>42</v>
      </c>
      <c r="H49" s="53">
        <v>574363</v>
      </c>
      <c r="I49" s="53">
        <f>+H49-285595</f>
        <v>288768</v>
      </c>
      <c r="J49" s="53">
        <v>771975</v>
      </c>
      <c r="K49" s="53">
        <f>+J49-385987</f>
        <v>385988</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899522</v>
      </c>
      <c r="I51" s="53">
        <f>+H51-466979</f>
        <v>432543</v>
      </c>
      <c r="J51" s="53">
        <v>1270163</v>
      </c>
      <c r="K51" s="53">
        <f>+J51-642704</f>
        <v>627459</v>
      </c>
    </row>
    <row r="52" spans="1:11" ht="12.75" customHeight="1" x14ac:dyDescent="0.2">
      <c r="A52" s="220" t="s">
        <v>144</v>
      </c>
      <c r="B52" s="220"/>
      <c r="C52" s="220"/>
      <c r="D52" s="220"/>
      <c r="E52" s="220"/>
      <c r="F52" s="220"/>
      <c r="G52" s="11">
        <v>45</v>
      </c>
      <c r="H52" s="53">
        <v>5024117</v>
      </c>
      <c r="I52" s="53">
        <f>+H52-3759055</f>
        <v>1265062</v>
      </c>
      <c r="J52" s="53">
        <v>4353174</v>
      </c>
      <c r="K52" s="53">
        <f>+J52-2867996</f>
        <v>1485178</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5157</v>
      </c>
      <c r="I55" s="53">
        <f>+H55</f>
        <v>5157</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118415095</v>
      </c>
      <c r="I60" s="52">
        <f t="shared" ref="I60:K60" si="0">I8+I37+I56+I57</f>
        <v>74563074</v>
      </c>
      <c r="J60" s="52">
        <f t="shared" si="0"/>
        <v>122621463</v>
      </c>
      <c r="K60" s="52">
        <f t="shared" si="0"/>
        <v>74277384</v>
      </c>
    </row>
    <row r="61" spans="1:11" ht="12.75" customHeight="1" x14ac:dyDescent="0.2">
      <c r="A61" s="216" t="s">
        <v>364</v>
      </c>
      <c r="B61" s="216"/>
      <c r="C61" s="216"/>
      <c r="D61" s="216"/>
      <c r="E61" s="216"/>
      <c r="F61" s="216"/>
      <c r="G61" s="12">
        <v>54</v>
      </c>
      <c r="H61" s="52">
        <f>H14+H48+H58+H59</f>
        <v>116723463</v>
      </c>
      <c r="I61" s="52">
        <f t="shared" ref="I61:K61" si="1">I14+I48+I58+I59</f>
        <v>62915067</v>
      </c>
      <c r="J61" s="52">
        <f t="shared" si="1"/>
        <v>132125326</v>
      </c>
      <c r="K61" s="52">
        <f t="shared" si="1"/>
        <v>73856956</v>
      </c>
    </row>
    <row r="62" spans="1:11" ht="12.75" customHeight="1" x14ac:dyDescent="0.2">
      <c r="A62" s="216" t="s">
        <v>365</v>
      </c>
      <c r="B62" s="216"/>
      <c r="C62" s="216"/>
      <c r="D62" s="216"/>
      <c r="E62" s="216"/>
      <c r="F62" s="216"/>
      <c r="G62" s="12">
        <v>55</v>
      </c>
      <c r="H62" s="52">
        <f>H60-H61</f>
        <v>1691632</v>
      </c>
      <c r="I62" s="52">
        <f t="shared" ref="I62:K62" si="2">I60-I61</f>
        <v>11648007</v>
      </c>
      <c r="J62" s="52">
        <f t="shared" si="2"/>
        <v>-9503863</v>
      </c>
      <c r="K62" s="52">
        <f t="shared" si="2"/>
        <v>420428</v>
      </c>
    </row>
    <row r="63" spans="1:11" ht="12.75" customHeight="1" x14ac:dyDescent="0.2">
      <c r="A63" s="221" t="s">
        <v>366</v>
      </c>
      <c r="B63" s="221"/>
      <c r="C63" s="221"/>
      <c r="D63" s="221"/>
      <c r="E63" s="221"/>
      <c r="F63" s="221"/>
      <c r="G63" s="12">
        <v>56</v>
      </c>
      <c r="H63" s="52">
        <f>+IF((H60-H61)&gt;0,(H60-H61),0)</f>
        <v>1691632</v>
      </c>
      <c r="I63" s="52">
        <f t="shared" ref="I63:K63" si="3">+IF((I60-I61)&gt;0,(I60-I61),0)</f>
        <v>11648007</v>
      </c>
      <c r="J63" s="52">
        <f t="shared" si="3"/>
        <v>0</v>
      </c>
      <c r="K63" s="52">
        <f t="shared" si="3"/>
        <v>420428</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-9503863</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1691632</v>
      </c>
      <c r="I66" s="52">
        <f t="shared" ref="I66:K66" si="5">I62-I65</f>
        <v>11648007</v>
      </c>
      <c r="J66" s="52">
        <f t="shared" si="5"/>
        <v>-9503863</v>
      </c>
      <c r="K66" s="52">
        <f t="shared" si="5"/>
        <v>420428</v>
      </c>
    </row>
    <row r="67" spans="1:11" ht="12.75" customHeight="1" x14ac:dyDescent="0.2">
      <c r="A67" s="221" t="s">
        <v>369</v>
      </c>
      <c r="B67" s="221"/>
      <c r="C67" s="221"/>
      <c r="D67" s="221"/>
      <c r="E67" s="221"/>
      <c r="F67" s="221"/>
      <c r="G67" s="12">
        <v>60</v>
      </c>
      <c r="H67" s="52">
        <f>+IF((H62-H65)&gt;0,(H62-H65),0)</f>
        <v>1691632</v>
      </c>
      <c r="I67" s="52">
        <f t="shared" ref="I67:K67" si="6">+IF((I62-I65)&gt;0,(I62-I65),0)</f>
        <v>11648007</v>
      </c>
      <c r="J67" s="52">
        <f t="shared" si="6"/>
        <v>0</v>
      </c>
      <c r="K67" s="52">
        <f t="shared" si="6"/>
        <v>420428</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-9503863</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1691632</v>
      </c>
      <c r="I89" s="56">
        <f>+I66</f>
        <v>11648007</v>
      </c>
      <c r="J89" s="56">
        <f t="shared" ref="J89" si="8">J66</f>
        <v>-9503863</v>
      </c>
      <c r="K89" s="56">
        <f>+K66</f>
        <v>420428</v>
      </c>
    </row>
    <row r="90" spans="1:11" ht="24" customHeight="1" x14ac:dyDescent="0.2">
      <c r="A90" s="184" t="s">
        <v>437</v>
      </c>
      <c r="B90" s="184"/>
      <c r="C90" s="184"/>
      <c r="D90" s="184"/>
      <c r="E90" s="184"/>
      <c r="F90" s="184"/>
      <c r="G90" s="12">
        <v>79</v>
      </c>
      <c r="H90" s="73">
        <f>H91+H98</f>
        <v>58050</v>
      </c>
      <c r="I90" s="73">
        <f>I91+I98</f>
        <v>51084</v>
      </c>
      <c r="J90" s="73">
        <f t="shared" ref="J90:K90" si="9">J91+J98</f>
        <v>-63476</v>
      </c>
      <c r="K90" s="73">
        <f t="shared" si="9"/>
        <v>0</v>
      </c>
    </row>
    <row r="91" spans="1:11" ht="24" customHeight="1" x14ac:dyDescent="0.2">
      <c r="A91" s="231" t="s">
        <v>444</v>
      </c>
      <c r="B91" s="231"/>
      <c r="C91" s="231"/>
      <c r="D91" s="231"/>
      <c r="E91" s="231"/>
      <c r="F91" s="231"/>
      <c r="G91" s="12">
        <v>80</v>
      </c>
      <c r="H91" s="73">
        <f>SUM(H92:H96)</f>
        <v>0</v>
      </c>
      <c r="I91" s="73">
        <f>SUM(I92:I96)</f>
        <v>0</v>
      </c>
      <c r="J91" s="73">
        <f t="shared" ref="J91:K91" si="10">SUM(J92:J96)</f>
        <v>0</v>
      </c>
      <c r="K91" s="73">
        <f t="shared" si="10"/>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58050</v>
      </c>
      <c r="I98" s="73">
        <f>SUM(I99:I106)</f>
        <v>51084</v>
      </c>
      <c r="J98" s="73">
        <f t="shared" ref="J98:K98" si="11">SUM(J99:J106)</f>
        <v>-63476</v>
      </c>
      <c r="K98" s="73">
        <f t="shared" si="11"/>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58050</v>
      </c>
      <c r="I106" s="56">
        <f>+H106-6966</f>
        <v>51084</v>
      </c>
      <c r="J106" s="56">
        <v>-63476</v>
      </c>
      <c r="K106" s="56">
        <f>J106+63476</f>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58050</v>
      </c>
      <c r="I108" s="73">
        <f>I91+I98-I107-I97</f>
        <v>51084</v>
      </c>
      <c r="J108" s="73">
        <f t="shared" ref="J108:K108" si="12">J91+J98-J107-J97</f>
        <v>-63476</v>
      </c>
      <c r="K108" s="73">
        <f t="shared" si="12"/>
        <v>0</v>
      </c>
    </row>
    <row r="109" spans="1:11" ht="12.75" customHeight="1" x14ac:dyDescent="0.2">
      <c r="A109" s="184" t="s">
        <v>393</v>
      </c>
      <c r="B109" s="184"/>
      <c r="C109" s="184"/>
      <c r="D109" s="184"/>
      <c r="E109" s="184"/>
      <c r="F109" s="184"/>
      <c r="G109" s="12">
        <v>98</v>
      </c>
      <c r="H109" s="55">
        <f>H89+H108</f>
        <v>1749682</v>
      </c>
      <c r="I109" s="55">
        <f>I89+I108</f>
        <v>11699091</v>
      </c>
      <c r="J109" s="55">
        <f t="shared" ref="J109:K109" si="13">J89+J108</f>
        <v>-9567339</v>
      </c>
      <c r="K109" s="55">
        <f t="shared" si="13"/>
        <v>420428</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A3" sqref="A3: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467</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RDG!H66</f>
        <v>1691632</v>
      </c>
      <c r="I8" s="68">
        <f>RDG!J62</f>
        <v>-9503863</v>
      </c>
    </row>
    <row r="9" spans="1:9" ht="12.75" customHeight="1" x14ac:dyDescent="0.2">
      <c r="A9" s="240" t="s">
        <v>171</v>
      </c>
      <c r="B9" s="240"/>
      <c r="C9" s="240"/>
      <c r="D9" s="240"/>
      <c r="E9" s="240"/>
      <c r="F9" s="240"/>
      <c r="G9" s="69">
        <v>2</v>
      </c>
      <c r="H9" s="70">
        <f>H10+H11+H12+H13+H14+H15+H16+H17</f>
        <v>5732364</v>
      </c>
      <c r="I9" s="70">
        <f>I10+I11+I12+I13+I14+I15+I16+I17</f>
        <v>-3693200</v>
      </c>
    </row>
    <row r="10" spans="1:9" ht="12.75" customHeight="1" x14ac:dyDescent="0.2">
      <c r="A10" s="217" t="s">
        <v>172</v>
      </c>
      <c r="B10" s="217"/>
      <c r="C10" s="217"/>
      <c r="D10" s="217"/>
      <c r="E10" s="217"/>
      <c r="F10" s="217"/>
      <c r="G10" s="67">
        <v>3</v>
      </c>
      <c r="H10" s="68">
        <v>9519638</v>
      </c>
      <c r="I10" s="68">
        <f>RDG!J24</f>
        <v>9978864</v>
      </c>
    </row>
    <row r="11" spans="1:9" ht="22.15" customHeight="1" x14ac:dyDescent="0.2">
      <c r="A11" s="217" t="s">
        <v>173</v>
      </c>
      <c r="B11" s="217"/>
      <c r="C11" s="217"/>
      <c r="D11" s="217"/>
      <c r="E11" s="217"/>
      <c r="F11" s="217"/>
      <c r="G11" s="67">
        <v>4</v>
      </c>
      <c r="H11" s="68">
        <v>-30269</v>
      </c>
      <c r="I11" s="68">
        <v>-2247</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-577997</v>
      </c>
      <c r="I13" s="68">
        <v>-1440771</v>
      </c>
    </row>
    <row r="14" spans="1:9" ht="12.75" customHeight="1" x14ac:dyDescent="0.2">
      <c r="A14" s="217" t="s">
        <v>176</v>
      </c>
      <c r="B14" s="217"/>
      <c r="C14" s="217"/>
      <c r="D14" s="217"/>
      <c r="E14" s="217"/>
      <c r="F14" s="217"/>
      <c r="G14" s="67">
        <v>7</v>
      </c>
      <c r="H14" s="68">
        <v>1473885</v>
      </c>
      <c r="I14" s="68">
        <v>2042138</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-218435</v>
      </c>
      <c r="I16" s="68">
        <v>246062</v>
      </c>
    </row>
    <row r="17" spans="1:9" ht="25.15" customHeight="1" x14ac:dyDescent="0.2">
      <c r="A17" s="217" t="s">
        <v>179</v>
      </c>
      <c r="B17" s="217"/>
      <c r="C17" s="217"/>
      <c r="D17" s="217"/>
      <c r="E17" s="217"/>
      <c r="F17" s="217"/>
      <c r="G17" s="67">
        <v>10</v>
      </c>
      <c r="H17" s="68">
        <v>-4434458</v>
      </c>
      <c r="I17" s="68">
        <v>-14517246</v>
      </c>
    </row>
    <row r="18" spans="1:9" ht="28.15" customHeight="1" x14ac:dyDescent="0.2">
      <c r="A18" s="239" t="s">
        <v>306</v>
      </c>
      <c r="B18" s="239"/>
      <c r="C18" s="239"/>
      <c r="D18" s="239"/>
      <c r="E18" s="239"/>
      <c r="F18" s="239"/>
      <c r="G18" s="69">
        <v>11</v>
      </c>
      <c r="H18" s="70">
        <f>H8+H9</f>
        <v>7423996</v>
      </c>
      <c r="I18" s="70">
        <f>I8+I9</f>
        <v>-13197063</v>
      </c>
    </row>
    <row r="19" spans="1:9" ht="12.75" customHeight="1" x14ac:dyDescent="0.2">
      <c r="A19" s="240" t="s">
        <v>180</v>
      </c>
      <c r="B19" s="240"/>
      <c r="C19" s="240"/>
      <c r="D19" s="240"/>
      <c r="E19" s="240"/>
      <c r="F19" s="240"/>
      <c r="G19" s="69">
        <v>12</v>
      </c>
      <c r="H19" s="70">
        <f>H20+H21+H22+H23</f>
        <v>17372762</v>
      </c>
      <c r="I19" s="70">
        <f>I20+I21+I22+I23</f>
        <v>22138453</v>
      </c>
    </row>
    <row r="20" spans="1:9" ht="12.75" customHeight="1" x14ac:dyDescent="0.2">
      <c r="A20" s="217" t="s">
        <v>181</v>
      </c>
      <c r="B20" s="217"/>
      <c r="C20" s="217"/>
      <c r="D20" s="217"/>
      <c r="E20" s="217"/>
      <c r="F20" s="217"/>
      <c r="G20" s="67">
        <v>13</v>
      </c>
      <c r="H20" s="68">
        <f>34139178</f>
        <v>34139178</v>
      </c>
      <c r="I20" s="68">
        <v>26055214</v>
      </c>
    </row>
    <row r="21" spans="1:9" ht="12.75" customHeight="1" x14ac:dyDescent="0.2">
      <c r="A21" s="217" t="s">
        <v>182</v>
      </c>
      <c r="B21" s="217"/>
      <c r="C21" s="217"/>
      <c r="D21" s="217"/>
      <c r="E21" s="217"/>
      <c r="F21" s="217"/>
      <c r="G21" s="67">
        <v>14</v>
      </c>
      <c r="H21" s="68">
        <v>-9680000</v>
      </c>
      <c r="I21" s="68">
        <v>-11921641</v>
      </c>
    </row>
    <row r="22" spans="1:9" ht="12.75" customHeight="1" x14ac:dyDescent="0.2">
      <c r="A22" s="217" t="s">
        <v>183</v>
      </c>
      <c r="B22" s="217"/>
      <c r="C22" s="217"/>
      <c r="D22" s="217"/>
      <c r="E22" s="217"/>
      <c r="F22" s="217"/>
      <c r="G22" s="67">
        <v>15</v>
      </c>
      <c r="H22" s="68">
        <v>-225668</v>
      </c>
      <c r="I22" s="68">
        <v>-630024</v>
      </c>
    </row>
    <row r="23" spans="1:9" ht="12.75" customHeight="1" x14ac:dyDescent="0.2">
      <c r="A23" s="217" t="s">
        <v>184</v>
      </c>
      <c r="B23" s="217"/>
      <c r="C23" s="217"/>
      <c r="D23" s="217"/>
      <c r="E23" s="217"/>
      <c r="F23" s="217"/>
      <c r="G23" s="67">
        <v>16</v>
      </c>
      <c r="H23" s="68">
        <f>-10146413+3285665</f>
        <v>-6860748</v>
      </c>
      <c r="I23" s="68">
        <v>8634904</v>
      </c>
    </row>
    <row r="24" spans="1:9" ht="12.75" customHeight="1" x14ac:dyDescent="0.2">
      <c r="A24" s="239" t="s">
        <v>185</v>
      </c>
      <c r="B24" s="239"/>
      <c r="C24" s="239"/>
      <c r="D24" s="239"/>
      <c r="E24" s="239"/>
      <c r="F24" s="239"/>
      <c r="G24" s="69">
        <v>17</v>
      </c>
      <c r="H24" s="70">
        <f>H18+H19</f>
        <v>24796758</v>
      </c>
      <c r="I24" s="70">
        <f>I18+I19</f>
        <v>8941390</v>
      </c>
    </row>
    <row r="25" spans="1:9" ht="12.75" customHeight="1" x14ac:dyDescent="0.2">
      <c r="A25" s="182" t="s">
        <v>186</v>
      </c>
      <c r="B25" s="182"/>
      <c r="C25" s="182"/>
      <c r="D25" s="182"/>
      <c r="E25" s="182"/>
      <c r="F25" s="182"/>
      <c r="G25" s="67">
        <v>18</v>
      </c>
      <c r="H25" s="68">
        <v>-909378</v>
      </c>
      <c r="I25" s="68">
        <v>-1154729</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23887380</v>
      </c>
      <c r="I27" s="70">
        <f>I24+I25+I26</f>
        <v>7786661</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37703</v>
      </c>
      <c r="I29" s="71">
        <v>33914</v>
      </c>
    </row>
    <row r="30" spans="1:9" ht="12.75" customHeight="1" x14ac:dyDescent="0.2">
      <c r="A30" s="182" t="s">
        <v>191</v>
      </c>
      <c r="B30" s="182"/>
      <c r="C30" s="182"/>
      <c r="D30" s="182"/>
      <c r="E30" s="182"/>
      <c r="F30" s="182"/>
      <c r="G30" s="67">
        <v>22</v>
      </c>
      <c r="H30" s="71">
        <v>0</v>
      </c>
      <c r="I30" s="71">
        <v>290244</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43549</v>
      </c>
    </row>
    <row r="33" spans="1:9" ht="12.75" customHeight="1" x14ac:dyDescent="0.2">
      <c r="A33" s="182" t="s">
        <v>194</v>
      </c>
      <c r="B33" s="182"/>
      <c r="C33" s="182"/>
      <c r="D33" s="182"/>
      <c r="E33" s="182"/>
      <c r="F33" s="182"/>
      <c r="G33" s="67">
        <v>25</v>
      </c>
      <c r="H33" s="71">
        <v>0</v>
      </c>
      <c r="I33" s="71">
        <v>150000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37703</v>
      </c>
      <c r="I35" s="72">
        <f>I29+I30+I31+I32+I33+I34</f>
        <v>517707</v>
      </c>
    </row>
    <row r="36" spans="1:9" ht="22.9" customHeight="1" x14ac:dyDescent="0.2">
      <c r="A36" s="182" t="s">
        <v>197</v>
      </c>
      <c r="B36" s="182"/>
      <c r="C36" s="182"/>
      <c r="D36" s="182"/>
      <c r="E36" s="182"/>
      <c r="F36" s="182"/>
      <c r="G36" s="67">
        <v>28</v>
      </c>
      <c r="H36" s="71">
        <v>-5503671</v>
      </c>
      <c r="I36" s="71">
        <v>-2338178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-3285665</v>
      </c>
      <c r="I40" s="71">
        <v>-5522250</v>
      </c>
    </row>
    <row r="41" spans="1:9" ht="24" customHeight="1" x14ac:dyDescent="0.2">
      <c r="A41" s="239" t="s">
        <v>202</v>
      </c>
      <c r="B41" s="239"/>
      <c r="C41" s="239"/>
      <c r="D41" s="239"/>
      <c r="E41" s="239"/>
      <c r="F41" s="239"/>
      <c r="G41" s="69">
        <v>33</v>
      </c>
      <c r="H41" s="72">
        <f>H36+H37+H38+H39+H40</f>
        <v>-8789336</v>
      </c>
      <c r="I41" s="72">
        <f>I36+I37+I38+I39+I40</f>
        <v>-7860428</v>
      </c>
    </row>
    <row r="42" spans="1:9" ht="29.45" customHeight="1" x14ac:dyDescent="0.2">
      <c r="A42" s="244" t="s">
        <v>203</v>
      </c>
      <c r="B42" s="244"/>
      <c r="C42" s="244"/>
      <c r="D42" s="244"/>
      <c r="E42" s="244"/>
      <c r="F42" s="244"/>
      <c r="G42" s="69">
        <v>34</v>
      </c>
      <c r="H42" s="72">
        <f>H35+H41</f>
        <v>-8751633</v>
      </c>
      <c r="I42" s="72">
        <f>I35+I41</f>
        <v>-7342721</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-5556389</v>
      </c>
      <c r="I53" s="71">
        <v>-7207565</v>
      </c>
    </row>
    <row r="54" spans="1:9" ht="30.6" customHeight="1" x14ac:dyDescent="0.2">
      <c r="A54" s="239" t="s">
        <v>214</v>
      </c>
      <c r="B54" s="239"/>
      <c r="C54" s="239"/>
      <c r="D54" s="239"/>
      <c r="E54" s="239"/>
      <c r="F54" s="239"/>
      <c r="G54" s="69">
        <v>45</v>
      </c>
      <c r="H54" s="72">
        <f>H49+H50+H51+H52+H53</f>
        <v>-8506389</v>
      </c>
      <c r="I54" s="72">
        <f>I49+I50+I51+I52+I53</f>
        <v>-7207565</v>
      </c>
    </row>
    <row r="55" spans="1:9" ht="29.45" customHeight="1" x14ac:dyDescent="0.2">
      <c r="A55" s="244" t="s">
        <v>215</v>
      </c>
      <c r="B55" s="244"/>
      <c r="C55" s="244"/>
      <c r="D55" s="244"/>
      <c r="E55" s="244"/>
      <c r="F55" s="244"/>
      <c r="G55" s="69">
        <v>46</v>
      </c>
      <c r="H55" s="72">
        <f>H48+H54</f>
        <v>-8506389</v>
      </c>
      <c r="I55" s="72">
        <f>I48+I54</f>
        <v>-7207565</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6629358</v>
      </c>
      <c r="I57" s="72">
        <f>I27+I42+I55+I56</f>
        <v>-6763625</v>
      </c>
    </row>
    <row r="58" spans="1:9" x14ac:dyDescent="0.2">
      <c r="A58" s="245" t="s">
        <v>218</v>
      </c>
      <c r="B58" s="245"/>
      <c r="C58" s="245"/>
      <c r="D58" s="245"/>
      <c r="E58" s="245"/>
      <c r="F58" s="245"/>
      <c r="G58" s="67">
        <v>49</v>
      </c>
      <c r="H58" s="71">
        <v>76286364</v>
      </c>
      <c r="I58" s="71">
        <f>Bilanca!H70</f>
        <v>79119537</v>
      </c>
    </row>
    <row r="59" spans="1:9" ht="31.15" customHeight="1" x14ac:dyDescent="0.2">
      <c r="A59" s="244" t="s">
        <v>219</v>
      </c>
      <c r="B59" s="244"/>
      <c r="C59" s="244"/>
      <c r="D59" s="244"/>
      <c r="E59" s="244"/>
      <c r="F59" s="244"/>
      <c r="G59" s="69">
        <v>50</v>
      </c>
      <c r="H59" s="72">
        <f>H57+H58</f>
        <v>82915722</v>
      </c>
      <c r="I59" s="72">
        <f>I57+I58</f>
        <v>72355912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L9" sqref="L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A32" zoomScale="80" zoomScaleNormal="80" zoomScaleSheetLayoutView="80" workbookViewId="0">
      <selection activeCell="A35" sqref="A35: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83333935</v>
      </c>
      <c r="I7" s="33">
        <v>39285951</v>
      </c>
      <c r="J7" s="33">
        <v>0</v>
      </c>
      <c r="K7" s="33">
        <v>0</v>
      </c>
      <c r="L7" s="33">
        <v>0</v>
      </c>
      <c r="M7" s="33">
        <v>0</v>
      </c>
      <c r="N7" s="33">
        <v>0</v>
      </c>
      <c r="O7" s="33">
        <v>0</v>
      </c>
      <c r="P7" s="33">
        <v>-56494</v>
      </c>
      <c r="Q7" s="33">
        <v>0</v>
      </c>
      <c r="R7" s="33">
        <v>0</v>
      </c>
      <c r="S7" s="33">
        <v>0</v>
      </c>
      <c r="T7" s="33">
        <v>0</v>
      </c>
      <c r="U7" s="33">
        <v>-92664517</v>
      </c>
      <c r="V7" s="33">
        <v>-18203451</v>
      </c>
      <c r="W7" s="34">
        <f>H7+I7+J7+K7-L7+M7+N7+O7+P7+Q7+R7+U7+V7+S7+T7</f>
        <v>11695424</v>
      </c>
      <c r="X7" s="33">
        <v>0</v>
      </c>
      <c r="Y7" s="34">
        <f>W7+X7</f>
        <v>11695424</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83333935</v>
      </c>
      <c r="I10" s="34">
        <f t="shared" ref="I10:Y10" si="2">I7+I8+I9</f>
        <v>39285951</v>
      </c>
      <c r="J10" s="34">
        <f t="shared" si="2"/>
        <v>0</v>
      </c>
      <c r="K10" s="34">
        <f>K7+K8+K9</f>
        <v>0</v>
      </c>
      <c r="L10" s="34">
        <f t="shared" si="2"/>
        <v>0</v>
      </c>
      <c r="M10" s="34">
        <f t="shared" si="2"/>
        <v>0</v>
      </c>
      <c r="N10" s="34">
        <f t="shared" si="2"/>
        <v>0</v>
      </c>
      <c r="O10" s="34">
        <f t="shared" si="2"/>
        <v>0</v>
      </c>
      <c r="P10" s="34">
        <f t="shared" si="2"/>
        <v>-56494</v>
      </c>
      <c r="Q10" s="34">
        <f t="shared" si="2"/>
        <v>0</v>
      </c>
      <c r="R10" s="34">
        <f t="shared" si="2"/>
        <v>0</v>
      </c>
      <c r="S10" s="34">
        <f t="shared" si="2"/>
        <v>0</v>
      </c>
      <c r="T10" s="34">
        <f t="shared" si="2"/>
        <v>0</v>
      </c>
      <c r="U10" s="34">
        <f t="shared" si="2"/>
        <v>-92664517</v>
      </c>
      <c r="V10" s="34">
        <f t="shared" si="2"/>
        <v>-18203451</v>
      </c>
      <c r="W10" s="34">
        <f t="shared" si="2"/>
        <v>11695424</v>
      </c>
      <c r="X10" s="34">
        <f t="shared" si="2"/>
        <v>0</v>
      </c>
      <c r="Y10" s="34">
        <f t="shared" si="2"/>
        <v>11695424</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RDG!H66</f>
        <v>1691632</v>
      </c>
      <c r="W11" s="34">
        <f t="shared" ref="W11:W29" si="3">H11+I11+J11+K11-L11+M11+N11+O11+P11+Q11+R11+U11+V11+S11+T11</f>
        <v>1691632</v>
      </c>
      <c r="X11" s="33">
        <v>0</v>
      </c>
      <c r="Y11" s="34">
        <f t="shared" ref="Y11:Y29" si="4">W11+X11</f>
        <v>1691632</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58050</v>
      </c>
      <c r="Q14" s="35">
        <v>0</v>
      </c>
      <c r="R14" s="35">
        <v>0</v>
      </c>
      <c r="S14" s="33">
        <v>0</v>
      </c>
      <c r="T14" s="33">
        <v>0</v>
      </c>
      <c r="U14" s="33">
        <v>0</v>
      </c>
      <c r="V14" s="33">
        <v>0</v>
      </c>
      <c r="W14" s="34">
        <f t="shared" si="3"/>
        <v>58050</v>
      </c>
      <c r="X14" s="33">
        <v>0</v>
      </c>
      <c r="Y14" s="34">
        <f t="shared" si="4"/>
        <v>58050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39285951</v>
      </c>
      <c r="I24" s="33">
        <v>-39285951</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f>V10</f>
        <v>-18203451</v>
      </c>
      <c r="V28" s="33">
        <f>U28*-1</f>
        <v>18203451</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122619886</v>
      </c>
      <c r="I30" s="36">
        <f t="shared" ref="I30:Y30" si="5">SUM(I10:I29)</f>
        <v>0</v>
      </c>
      <c r="J30" s="36">
        <f t="shared" si="5"/>
        <v>0</v>
      </c>
      <c r="K30" s="36">
        <f t="shared" si="5"/>
        <v>0</v>
      </c>
      <c r="L30" s="36">
        <f t="shared" si="5"/>
        <v>0</v>
      </c>
      <c r="M30" s="36">
        <f t="shared" si="5"/>
        <v>0</v>
      </c>
      <c r="N30" s="36">
        <f t="shared" si="5"/>
        <v>0</v>
      </c>
      <c r="O30" s="36">
        <f t="shared" si="5"/>
        <v>0</v>
      </c>
      <c r="P30" s="36">
        <f t="shared" si="5"/>
        <v>1556</v>
      </c>
      <c r="Q30" s="36">
        <f t="shared" si="5"/>
        <v>0</v>
      </c>
      <c r="R30" s="36">
        <f t="shared" si="5"/>
        <v>0</v>
      </c>
      <c r="S30" s="36">
        <f t="shared" si="5"/>
        <v>0</v>
      </c>
      <c r="T30" s="36">
        <f t="shared" si="5"/>
        <v>0</v>
      </c>
      <c r="U30" s="36">
        <f t="shared" si="5"/>
        <v>-110867968</v>
      </c>
      <c r="V30" s="36">
        <f t="shared" si="5"/>
        <v>1691632</v>
      </c>
      <c r="W30" s="36">
        <f t="shared" si="5"/>
        <v>13445106</v>
      </c>
      <c r="X30" s="36">
        <f t="shared" si="5"/>
        <v>0</v>
      </c>
      <c r="Y30" s="36">
        <f t="shared" si="5"/>
        <v>13445106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58050</v>
      </c>
      <c r="Q32" s="34">
        <f t="shared" si="6"/>
        <v>0</v>
      </c>
      <c r="R32" s="34">
        <f t="shared" si="6"/>
        <v>0</v>
      </c>
      <c r="S32" s="34">
        <f t="shared" ref="S32:T32" si="7">SUM(S12:S20)</f>
        <v>0</v>
      </c>
      <c r="T32" s="34">
        <f t="shared" si="7"/>
        <v>0</v>
      </c>
      <c r="U32" s="34">
        <f t="shared" si="6"/>
        <v>0</v>
      </c>
      <c r="V32" s="34">
        <f t="shared" si="6"/>
        <v>0</v>
      </c>
      <c r="W32" s="34">
        <f t="shared" si="6"/>
        <v>58050</v>
      </c>
      <c r="X32" s="34">
        <f t="shared" si="6"/>
        <v>0</v>
      </c>
      <c r="Y32" s="34">
        <f t="shared" si="6"/>
        <v>58050</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58050</v>
      </c>
      <c r="Q33" s="34">
        <f t="shared" si="8"/>
        <v>0</v>
      </c>
      <c r="R33" s="34">
        <f t="shared" si="8"/>
        <v>0</v>
      </c>
      <c r="S33" s="34">
        <f t="shared" ref="S33:T33" si="9">S11+S32</f>
        <v>0</v>
      </c>
      <c r="T33" s="34">
        <f t="shared" si="9"/>
        <v>0</v>
      </c>
      <c r="U33" s="34">
        <f t="shared" si="8"/>
        <v>0</v>
      </c>
      <c r="V33" s="34">
        <f t="shared" si="8"/>
        <v>1691632</v>
      </c>
      <c r="W33" s="34">
        <f t="shared" si="8"/>
        <v>1749682</v>
      </c>
      <c r="X33" s="34">
        <f t="shared" si="8"/>
        <v>0</v>
      </c>
      <c r="Y33" s="34">
        <f t="shared" si="8"/>
        <v>1749682</v>
      </c>
    </row>
    <row r="34" spans="1:25" ht="30.75" customHeight="1" x14ac:dyDescent="0.2">
      <c r="A34" s="292" t="s">
        <v>429</v>
      </c>
      <c r="B34" s="292"/>
      <c r="C34" s="292"/>
      <c r="D34" s="292"/>
      <c r="E34" s="292"/>
      <c r="F34" s="292"/>
      <c r="G34" s="8">
        <v>27</v>
      </c>
      <c r="H34" s="36">
        <f>SUM(H21:H29)</f>
        <v>39285951</v>
      </c>
      <c r="I34" s="36">
        <f t="shared" ref="I34:Y34" si="10">SUM(I21:I29)</f>
        <v>-39285951</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-18203451</v>
      </c>
      <c r="V34" s="36">
        <f t="shared" si="10"/>
        <v>18203451</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v>0</v>
      </c>
      <c r="O36" s="33">
        <f>Bilanca!H84</f>
        <v>412184</v>
      </c>
      <c r="P36" s="33">
        <f>Bilanca!H86</f>
        <v>63476</v>
      </c>
      <c r="Q36" s="33">
        <v>0</v>
      </c>
      <c r="R36" s="33">
        <v>0</v>
      </c>
      <c r="S36" s="33">
        <v>0</v>
      </c>
      <c r="T36" s="33">
        <v>0</v>
      </c>
      <c r="U36" s="33">
        <f>Bilanca!H91</f>
        <v>-80636035</v>
      </c>
      <c r="V36" s="33">
        <f>Bilanca!H94</f>
        <v>2252127</v>
      </c>
      <c r="W36" s="37">
        <f>H36+I36+J36+K36-L36+M36+N36+O36+P36+Q36+R36+U36+V36+S36+T36</f>
        <v>14479705</v>
      </c>
      <c r="X36" s="33">
        <v>0</v>
      </c>
      <c r="Y36" s="37">
        <f t="shared" ref="Y36:Y38" si="12">W36+X36</f>
        <v>14479705</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0</v>
      </c>
      <c r="O39" s="34">
        <f t="shared" si="14"/>
        <v>412184</v>
      </c>
      <c r="P39" s="34">
        <f t="shared" si="14"/>
        <v>63476</v>
      </c>
      <c r="Q39" s="34">
        <f t="shared" si="14"/>
        <v>0</v>
      </c>
      <c r="R39" s="34">
        <f t="shared" si="14"/>
        <v>0</v>
      </c>
      <c r="S39" s="34">
        <f t="shared" si="14"/>
        <v>0</v>
      </c>
      <c r="T39" s="34">
        <f t="shared" si="14"/>
        <v>0</v>
      </c>
      <c r="U39" s="34">
        <f t="shared" si="14"/>
        <v>-80636035</v>
      </c>
      <c r="V39" s="34">
        <f t="shared" si="14"/>
        <v>2252127</v>
      </c>
      <c r="W39" s="34">
        <f t="shared" si="14"/>
        <v>14479705</v>
      </c>
      <c r="X39" s="34">
        <f t="shared" si="14"/>
        <v>0</v>
      </c>
      <c r="Y39" s="34">
        <f t="shared" si="14"/>
        <v>14479705</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RDG!J62</f>
        <v>-9503863</v>
      </c>
      <c r="W40" s="37">
        <f t="shared" ref="W40:W58" si="15">H40+I40+J40+K40-L40+M40+N40+O40+P40+Q40+R40+U40+V40+S40+T40</f>
        <v>-9503863</v>
      </c>
      <c r="X40" s="33">
        <v>0</v>
      </c>
      <c r="Y40" s="37">
        <f t="shared" ref="Y40:Y58" si="16">W40+X40</f>
        <v>-9503863</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V36</f>
        <v>2252127</v>
      </c>
      <c r="V57" s="33">
        <f>V36*-1</f>
        <v>-2252127</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0</v>
      </c>
      <c r="O59" s="36">
        <f t="shared" si="17"/>
        <v>412184</v>
      </c>
      <c r="P59" s="36">
        <f t="shared" si="17"/>
        <v>0</v>
      </c>
      <c r="Q59" s="36">
        <f t="shared" si="17"/>
        <v>0</v>
      </c>
      <c r="R59" s="36">
        <f t="shared" si="17"/>
        <v>0</v>
      </c>
      <c r="S59" s="36">
        <f t="shared" si="17"/>
        <v>0</v>
      </c>
      <c r="T59" s="36">
        <f t="shared" si="17"/>
        <v>0</v>
      </c>
      <c r="U59" s="36">
        <f t="shared" si="17"/>
        <v>-78383908</v>
      </c>
      <c r="V59" s="36">
        <f t="shared" si="17"/>
        <v>-9503863</v>
      </c>
      <c r="W59" s="36">
        <f t="shared" si="17"/>
        <v>4912366</v>
      </c>
      <c r="X59" s="36">
        <f t="shared" si="17"/>
        <v>0</v>
      </c>
      <c r="Y59" s="36">
        <f t="shared" si="17"/>
        <v>4912366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-9503863</v>
      </c>
      <c r="W62" s="37">
        <f t="shared" si="20"/>
        <v>-9567339</v>
      </c>
      <c r="X62" s="37">
        <f t="shared" si="20"/>
        <v>0</v>
      </c>
      <c r="Y62" s="37">
        <f t="shared" si="20"/>
        <v>-9567339</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2252127</v>
      </c>
      <c r="V63" s="38">
        <f t="shared" si="22"/>
        <v>-2252127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2024-07-31T08:13:50Z</cp:lastPrinted>
  <dcterms:created xsi:type="dcterms:W3CDTF">2008-10-17T11:51:54Z</dcterms:created>
  <dcterms:modified xsi:type="dcterms:W3CDTF">2024-07-31T12:11:12Z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