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3.kvartal 2024\1-9 2024 CTN GRUPA\"/>
    </mc:Choice>
  </mc:AlternateContent>
  <xr:revisionPtr revIDLastSave="0" documentId="13_ncr:1_{8B112ED0-C8B9-4A79-9288-732A73077B4D}"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0" l="1"/>
  <c r="O36" i="22"/>
  <c r="P14" i="22"/>
  <c r="K44" i="26"/>
  <c r="C29" i="25"/>
  <c r="K106" i="26"/>
  <c r="K28" i="26"/>
  <c r="K36" i="26"/>
  <c r="I106" i="26"/>
  <c r="I55" i="26"/>
  <c r="I52" i="26"/>
  <c r="I51" i="26"/>
  <c r="I49" i="26"/>
  <c r="I45" i="26"/>
  <c r="I44" i="26"/>
  <c r="I36" i="26"/>
  <c r="I28" i="26"/>
  <c r="I25" i="26"/>
  <c r="I24" i="26"/>
  <c r="I23" i="26"/>
  <c r="I22" i="26"/>
  <c r="I21" i="26"/>
  <c r="I19" i="26"/>
  <c r="I17" i="26"/>
  <c r="I13" i="26"/>
  <c r="I10" i="26"/>
  <c r="K23" i="26"/>
  <c r="K52" i="26"/>
  <c r="K51" i="26"/>
  <c r="K49" i="26"/>
  <c r="K45" i="26"/>
  <c r="K25" i="26"/>
  <c r="K24" i="26"/>
  <c r="K22" i="26"/>
  <c r="K21" i="26"/>
  <c r="K19" i="26"/>
  <c r="K17" i="26"/>
  <c r="K13" i="26"/>
  <c r="K10" i="26"/>
  <c r="P43" i="22"/>
  <c r="U57" i="22"/>
  <c r="N57" i="22" l="1"/>
  <c r="N36" i="22"/>
  <c r="I105" i="18"/>
  <c r="I11" i="26"/>
  <c r="I12" i="26"/>
  <c r="K41" i="26" l="1"/>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V11" i="22" s="1"/>
  <c r="H64" i="26"/>
  <c r="I51" i="21"/>
  <c r="I53" i="21" s="1"/>
  <c r="H51" i="21"/>
  <c r="H53" i="21" s="1"/>
  <c r="K86" i="26" l="1"/>
  <c r="I86" i="26"/>
  <c r="H68" i="26"/>
  <c r="W11" i="22" s="1"/>
  <c r="J67" i="26"/>
  <c r="V40" i="22"/>
  <c r="W40" i="22" s="1"/>
  <c r="I67" i="26"/>
  <c r="I68" i="26"/>
  <c r="J66" i="26"/>
  <c r="J68" i="26"/>
  <c r="K67" i="26"/>
  <c r="K68" i="26"/>
  <c r="H66" i="26"/>
  <c r="H67" i="26"/>
  <c r="I85" i="18"/>
  <c r="H85" i="18"/>
  <c r="J86" i="26" l="1"/>
  <c r="H86" i="26"/>
  <c r="K85" i="26"/>
  <c r="K89" i="26"/>
  <c r="K109" i="26" s="1"/>
  <c r="K112" i="26" s="1"/>
  <c r="I85" i="26"/>
  <c r="I89" i="26"/>
  <c r="I109" i="26" s="1"/>
  <c r="I112" i="26" s="1"/>
  <c r="I111" i="26" s="1"/>
  <c r="I78" i="18"/>
  <c r="H78" i="18"/>
  <c r="J89" i="26" l="1"/>
  <c r="J109" i="26" s="1"/>
  <c r="J85" i="26"/>
  <c r="H89" i="26"/>
  <c r="H109" i="26" s="1"/>
  <c r="H112" i="26" s="1"/>
  <c r="H111" i="26" s="1"/>
  <c r="H85" i="26"/>
  <c r="K111" i="26"/>
  <c r="H54" i="20"/>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J112" i="26" l="1"/>
  <c r="J111" i="26" s="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60" i="18"/>
  <c r="I53" i="18"/>
  <c r="I45" i="18"/>
  <c r="I38" i="18"/>
  <c r="I27" i="18"/>
  <c r="I17" i="18"/>
  <c r="I10" i="18"/>
  <c r="H57" i="20" l="1"/>
  <c r="H59" i="20" s="1"/>
  <c r="W57" i="22"/>
  <c r="Y57" i="22" s="1"/>
  <c r="Y63" i="22" s="1"/>
  <c r="U30" i="22"/>
  <c r="I24" i="20"/>
  <c r="I27" i="20" s="1"/>
  <c r="I55" i="20"/>
  <c r="H72" i="18"/>
  <c r="I44" i="18"/>
  <c r="I75" i="18"/>
  <c r="I9" i="18"/>
  <c r="I42" i="20"/>
  <c r="Y61" i="22"/>
  <c r="Y62" i="22" s="1"/>
  <c r="W61" i="22"/>
  <c r="W62" i="22" s="1"/>
  <c r="Y32" i="22"/>
  <c r="Y33" i="22" s="1"/>
  <c r="W32" i="22"/>
  <c r="W33" i="22" s="1"/>
  <c r="Y39" i="22"/>
  <c r="W39" i="22"/>
  <c r="Y10" i="22"/>
  <c r="W10" i="22"/>
  <c r="W59" i="22" l="1"/>
  <c r="W63" i="22"/>
  <c r="Y59" i="22"/>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<sst xmlns="http://schemas.openxmlformats.org/spreadsheetml/2006/main" count="540" uniqueCount="475">
  <si>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</si>
  <si>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</si>
  <si>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</si>
  <si>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</si>
  <si>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</si>
  <si>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</si>
  <si>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</si>
  <si>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</si>
  <si>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</si>
  <si>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</si>
  <si>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</si>
  <si>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</si>
  <si>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</si>
  <si>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</si>
  <si>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</si>
  <si>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</si>
  <si>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</si>
  <si>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</si>
  <si>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</si>
  <si>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</si>
  <si>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</si>
  <si>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</si>
  <si>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</si>
  <si>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</si>
  <si>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</si>
  <si>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</si>
  <si>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</si>
  <si>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</si>
  <si>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</si>
  <si>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</si>
  <si>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</si>
  <si>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</si>
  <si>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</si>
  <si>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</si>
  <si>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</si>
  <si>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</si>
  <si>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</si>
  <si>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</si>
  <si>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</si>
  <si>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</si>
  <si>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</si>
  <si>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</si>
  <si>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</si>
  <si>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</si>
  <si>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</si>
  <si>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</si>
  <si>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</si>
  <si>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</si>
  <si>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</si>
  <si>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</si>
  <si>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</si>
  <si>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</si>
  <si>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</si>
  <si>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</si>
  <si>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</si>
  <si>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</si>
  <si>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</si>
  <si>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</si>
  <si>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</si>
  <si>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</si>
  <si>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</si>
  <si>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</si>
  <si>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</si>
  <si>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</si>
  <si>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</si>
  <si>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</si>
  <si>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</si>
  <si>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</si>
  <si>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</si>
  <si>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</si>
  <si>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</si>
  <si>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</si>
  <si>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</si>
  <si>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</si>
  <si>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</si>
  <si>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</si>
  <si>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</si>
  <si>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</si>
  <si>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</si>
  <si>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</si>
  <si>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</si>
  <si>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</si>
  <si>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</si>
  <si>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</si>
  <si>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</si>
  <si>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</si>
  <si>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</si>
  <si>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</si>
  <si>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</si>
  <si>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</si>
  <si>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</si>
  <si>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</si>
  <si>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</si>
  <si>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</si>
  <si>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</si>
  <si>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</si>
  <si>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</si>
  <si>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</si>
  <si>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</si>
  <si>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</si>
  <si>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</si>
  <si>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</si>
  <si>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</si>
  <si>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</si>
  <si>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</si>
  <si>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</si>
  <si>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</si>
  <si>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</si>
  <si>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</si>
  <si>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</si>
  <si>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</si>
  <si>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</si>
  <si>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</si>
  <si>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</si>
  <si>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</si>
  <si>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</si>
  <si>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</si>
  <si>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</si>
  <si>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</si>
  <si>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</si>
  <si>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</si>
  <si>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</si>
  <si>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</si>
  <si>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</si>
  <si>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</si>
  <si>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</si>
  <si>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</si>
  <si>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</si>
  <si>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</si>
  <si>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</si>
  <si>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</si>
  <si>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</si>
  <si>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</si>
  <si>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</si>
  <si>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</si>
  <si>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</si>
  <si>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</si>
  <si>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</si>
  <si>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</si>
  <si>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</si>
  <si>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</si>
  <si>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</si>
  <si>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</si>
  <si>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</si>
  <si>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</si>
  <si>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</si>
  <si>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</si>
  <si>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</si>
  <si>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</si>
  <si>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</si>
  <si>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</si>
  <si>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</si>
  <si>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</si>
  <si>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</si>
  <si>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</si>
  <si>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</si>
  <si>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</si>
  <si>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</si>
  <si>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</si>
  <si>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</si>
  <si>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</si>
  <si>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</si>
  <si>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</si>
  <si>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</si>
  <si>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</si>
  <si>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</si>
  <si>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</si>
  <si>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</si>
  <si>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</si>
  <si>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</si>
  <si>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</si>
  <si>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</si>
  <si>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</si>
  <si>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</si>
  <si>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</si>
  <si>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</si>
  <si>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</si>
  <si>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</si>
  <si>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</si>
  <si>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</si>
  <si>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</si>
  <si>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</si>
  <si>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</si>
  <si>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</si>
  <si>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</si>
  <si>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</si>
  <si>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</si>
  <si>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</si>
  <si>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</si>
  <si>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</si>
  <si>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</si>
  <si>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</si>
  <si>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</si>
  <si>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</si>
  <si>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</si>
  <si>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</si>
  <si>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</si>
  <si>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</si>
  <si>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</si>
  <si>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</si>
  <si>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</si>
  <si>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</si>
  <si>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</si>
  <si>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</si>
  <si>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</si>
  <si>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</si>
  <si>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</si>
  <si>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</si>
  <si>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</si>
  <si>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</si>
  <si>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</si>
  <si>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</si>
  <si>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</si>
  <si>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</si>
  <si>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</si>
  <si>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</si>
  <si>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</si>
  <si>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</si>
  <si>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</si>
  <si>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</si>
  <si>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</si>
  <si>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</si>
  <si>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</si>
  <si>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</si>
  <si>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</si>
  <si>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</si>
  <si>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</si>
  <si>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</si>
  <si>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</si>
  <si>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</si>
  <si>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</si>
  <si>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</si>
  <si>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</si>
  <si>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</si>
  <si>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</si>
  <si>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</si>
  <si>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</si>
  <si>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</si>
  <si>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</si>
  <si>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</si>
  <si>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</si>
  <si>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</si>
  <si>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</si>
  <si>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</si>
  <si>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</si>
  <si>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</si>
  <si>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</si>
  <si>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</si>
  <si>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</si>
  <si>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</si>
  <si>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</si>
  <si>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</si>
  <si>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</si>
  <si>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</si>
  <si>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</si>
  <si>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</si>
  <si>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</si>
  <si>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</si>
  <si>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</si>
  <si>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</si>
  <si>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</si>
  <si>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</si>
  <si>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</si>
  <si>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</si>
  <si>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</si>
  <si>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</si>
  <si>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</si>
  <si>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</si>
  <si>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</si>
  <si>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</si>
  <si>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</si>
  <si>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</si>
  <si>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</si>
  <si>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</si>
  <si>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</si>
  <si>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</si>
  <si>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</si>
  <si>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</si>
  <si>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</si>
  <si>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</si>
  <si>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</si>
  <si>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</si>
  <si>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</si>
  <si>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</si>
  <si>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</si>
  <si>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</si>
  <si>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</si>
  <si>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</si>
  <si>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</si>
  <si>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</si>
  <si>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</si>
  <si>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</si>
  <si>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</si>
  <si>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</si>
  <si>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</si>
  <si>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</si>
  <si>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</si>
  <si>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</si>
  <si>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</si>
  <si>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</si>
  <si>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</si>
  <si>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</si>
  <si>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</si>
  <si>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</si>
  <si>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</si>
  <si>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</si>
  <si>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</si>
  <si>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</si>
  <si>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</si>
  <si>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</si>
  <si>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</si>
  <si>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</si>
  <si>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</si>
  <si>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</si>
  <si>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</si>
  <si>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</si>
  <si>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</si>
  <si>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</si>
  <si>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</si>
  <si>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</si>
  <si>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</si>
  <si>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</si>
  <si>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</si>
  <si>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</si>
  <si>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</si>
  <si>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</si>
  <si>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</si>
  <si>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</si>
  <si>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</si>
  <si>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</si>
  <si>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</si>
  <si>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</si>
  <si>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</si>
  <si>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</si>
  <si>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</si>
  <si>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</si>
  <si>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</si>
  <si>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</si>
  <si>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</si>
  <si>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</si>
  <si>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</si>
  <si>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</si>
  <si>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</si>
  <si>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</si>
  <si>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</si>
  <si>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</si>
  <si>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</si>
  <si>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</si>
  <si>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</si>
  <si>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</si>
  <si>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</si>
  <si>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</si>
  <si>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</si>
  <si>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</si>
  <si>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</si>
  <si>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</si>
  <si>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</si>
  <si>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</si>
  <si>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</si>
  <si>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</si>
  <si>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</si>
  <si>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</si>
  <si>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</si>
  <si>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</si>
  <si>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</si>
  <si>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</si>
  <si>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</si>
  <si>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</si>
  <si>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</si>
  <si>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</si>
  <si>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</si>
  <si>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</si>
  <si>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</si>
  <si>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</si>
  <si>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</si>
  <si>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</si>
  <si>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</si>
  <si>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</si>
  <si>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</si>
  <si>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</si>
  <si>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</si>
  <si>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</si>
  <si>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</si>
  <si>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</si>
  <si>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</si>
  <si>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</si>
  <si>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</si>
  <si>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</si>
  <si>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</si>
  <si>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</si>
  <si>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</si>
  <si>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</si>
  <si>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</si>
  <si>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</si>
  <si>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</si>
  <si>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</si>
  <si>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</si>
  <si>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</si>
  <si>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</si>
  <si>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</si>
  <si>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</si>
  <si>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</si>
  <si>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</si>
  <si>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</si>
  <si>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</si>
  <si>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</si>
  <si>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</si>
  <si>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</si>
  <si>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</si>
  <si>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</si>
  <si>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</si>
  <si>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</si>
  <si>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</si>
  <si>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</si>
  <si>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</si>
  <si>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</si>
  <si>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</si>
  <si>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</si>
  <si>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</si>
  <si>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</si>
  <si>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</si>
  <si>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</si>
  <si>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</si>
  <si>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</si>
  <si>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</si>
  <si>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</si>
  <si>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</si>
  <si>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</si>
  <si>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</si>
  <si>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</si>
  <si>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</si>
  <si>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</si>
  <si>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</si>
  <si>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</si>
  <si>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</si>
  <si>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</si>
  <si>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</si>
  <si>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</si>
  <si>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</si>
  <si>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</si>
  <si>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</si>
  <si>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</si>
  <si>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</si>
  <si>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</si>
  <si>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</si>
  <si>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</si>
  <si>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</si>
  <si>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</si>
  <si>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</si>
  <si>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</si>
  <si>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</si>
  <si>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</si>
  <si>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</si>
  <si>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</si>
  <si>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</si>
  <si>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</si>
  <si>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</si>
  <si>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</si>
  <si>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</si>
  <si>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</si>
  <si>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</si>
  <si>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</si>
  <si>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</si>
  <si>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AMADEUS CROATIA d.d.</t>
  </si>
  <si>
    <t>OBZOR PUTOVANJA d.o.o</t>
  </si>
  <si>
    <t xml:space="preserve">Zagreb, Božidara Adžije </t>
  </si>
  <si>
    <t>Zagreb, Teslina ulica 5</t>
  </si>
  <si>
    <t>BDO CROATIA d.o.o</t>
  </si>
  <si>
    <t>VEDRANA STIPIĆ</t>
  </si>
  <si>
    <t>Obveznik:  CROATIA AIRLINES GRUPA</t>
  </si>
  <si>
    <t>Obveznik: CROATIA AIRLINES GRUPA</t>
  </si>
  <si>
    <t>stanje na dan 30.9.2024</t>
  </si>
  <si>
    <t>u razdoblju 1.1.2024 do 30.9.2024</t>
  </si>
  <si>
    <t>u razdoblju 01.01.2024 do 30.09.2024</t>
  </si>
  <si>
    <t xml:space="preserve">BILJEŠKE UZ FINANCIJSKE IZVJEŠTAJE - TFI
(koji se sastavljaju za tromjesečna razdoblja)
Naziv izdavatelja:   CROATIA AIRLINES GRUPA
OIB:   24640993045
Izvještajno razdoblje: 1.1.-30.9.2024.
Međunarodna udruga za zračni prijevoz (IATA) u 2024. godini očekuje rekordnih pet milijardi putnika, uz očekivanu neto dobit od 30,5 milijardi dolara. Međutim, profitne marže i zarada po putniku i dalje su na niskim razinama, dok je povrat na uloženi kapital znatno ispod cijene kapitala. 
Croatia Airlines tijekom ove ljetne sezone povezivao je Hrvatsku s ukupno 26 međunarodnih odredišta, odnosno 27 europskih zračnih luka, a zrakoplovi su pritom letjeti na 48 međunarodnih linija. Ljetnim redom letenja Croatia Airlines proširio je mrežu međunarodnih odredišta, uvođenjem novih međunarodnih linija iz Zagreba i Splita.
U drugom i trećem kvartalu 2024. godine ostvarena je neto dobit u ukupnom iznosu od 947 tisuća EUR. Kako je neto gubitak u prvom kvartalu 2024. godine, odnosno u razdoblju niske potražnje, iznosio 9,92 milijuna EUR, ostvareni neto gubitak razdoblja siječanj-rujan 2024. godine iznosi 9 milijuna EUR. 
Tranzicijsko razdoblje početka zamjene flote karakterizira povećana troškovna izloženost svih, a posebno operativnih poslovnih procesa. Kako bi se obavio planirani red letenja bilo je nužno kratkoročno unajmiti zrakoplove. Povećani troškovi održavanja zrakoplova i kratkoročnog najma zrakoplova u odnosu na isto razdoblje prošle godine iznose 11,6 milijuna EUR, dakle, veći su od iskazanog neto gubitka razdoblja. 
U poslovnoj 2024. godini, u kojoj obilježava 35. obljetnicu osnutka, Croatia Airlines započeo je obnovu cjelokupne flote sukladno „Post Covid“ strategiji kompanije. Prvi zrakoplov Airbus A220 u flotu je došao 30. srpnja 2024. godine, a drugi se očekuje u prosincu 2024. godine. Do 2027. godine flota će biti obnovljena s 15 novih zrakoplova Airbus A220, što će kompaniji omogućiti daljnji razvoj te uspješno i održivo poslovanje u budućnosti kao ključnog faktora u povezivanju Hrvatske s Europom i svijetom. 
Obnova flote nacionalnog avioprijevoznika označava novo razdoblje poslovanja kojeg će krasiti i osvježen vizualni identitet putem kojeg će se uz još veću orijentiranost na putnike i ciljanu javnost, a prateći trendove i navike putnika, nastaviti dosljedno komunicirati vrijednosti Croatia Airlinesa.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</si>
</sst>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45565</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f>947+17+6</f>
        <v>970</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v>9</v>
      </c>
      <c r="F36" s="132"/>
      <c r="G36" s="132"/>
      <c r="H36" s="132"/>
      <c r="I36" s="77"/>
      <c r="J36" s="108"/>
    </row>
    <row r="37" spans="1:10" x14ac:dyDescent="0.25">
      <c r="A37" s="148" t="s">
        <v>463</v>
      </c>
      <c r="B37" s="149"/>
      <c r="C37" s="149"/>
      <c r="D37" s="149"/>
      <c r="E37" s="148" t="s">
        <v>465</v>
      </c>
      <c r="F37" s="149"/>
      <c r="G37" s="149"/>
      <c r="H37" s="149"/>
      <c r="I37" s="150"/>
      <c r="J37" s="76">
        <v>48576</v>
      </c>
    </row>
    <row r="38" spans="1:10" x14ac:dyDescent="0.25">
      <c r="A38" s="98"/>
      <c r="B38" s="77"/>
      <c r="C38" s="105"/>
      <c r="D38" s="151"/>
      <c r="E38" s="151"/>
      <c r="F38" s="151"/>
      <c r="G38" s="151"/>
      <c r="H38" s="151"/>
      <c r="I38" s="151"/>
      <c r="J38" s="100"/>
    </row>
    <row r="39" spans="1:10" x14ac:dyDescent="0.25">
      <c r="A39" s="148" t="s">
        <v>464</v>
      </c>
      <c r="B39" s="149"/>
      <c r="C39" s="149"/>
      <c r="D39" s="150"/>
      <c r="E39" s="148" t="s">
        <v>466</v>
      </c>
      <c r="F39" s="149"/>
      <c r="G39" s="149"/>
      <c r="H39" s="149"/>
      <c r="I39" s="150"/>
      <c r="J39" s="44">
        <v>490555</v>
      </c>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467</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468</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7" zoomScaleNormal="100" zoomScaleSheetLayoutView="110" workbookViewId="0">
      <selection activeCell="J85" sqref="J8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471</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470</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114283038</v>
      </c>
      <c r="I9" s="120">
        <f>I10+I17+I27+I38+I43</f>
        <v>159361563</v>
      </c>
    </row>
    <row r="10" spans="1:9" ht="12.75" customHeight="1" x14ac:dyDescent="0.2">
      <c r="A10" s="186" t="s">
        <v>5</v>
      </c>
      <c r="B10" s="186"/>
      <c r="C10" s="186"/>
      <c r="D10" s="186"/>
      <c r="E10" s="186"/>
      <c r="F10" s="186"/>
      <c r="G10" s="12">
        <v>3</v>
      </c>
      <c r="H10" s="120">
        <f>H11+H12+H13+H14+H15+H16</f>
        <v>776679</v>
      </c>
      <c r="I10" s="120">
        <f>I11+I12+I13+I14+I15+I16</f>
        <v>1352737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433512</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657616</v>
      </c>
    </row>
    <row r="16" spans="1:9" ht="12.75" customHeight="1" x14ac:dyDescent="0.2">
      <c r="A16" s="182" t="s">
        <v>11</v>
      </c>
      <c r="B16" s="182"/>
      <c r="C16" s="182"/>
      <c r="D16" s="182"/>
      <c r="E16" s="182"/>
      <c r="F16" s="182"/>
      <c r="G16" s="11">
        <v>9</v>
      </c>
      <c r="H16" s="18">
        <v>45707</v>
      </c>
      <c r="I16" s="18">
        <v>261609</v>
      </c>
    </row>
    <row r="17" spans="1:9" ht="12.75" customHeight="1" x14ac:dyDescent="0.2">
      <c r="A17" s="186" t="s">
        <v>12</v>
      </c>
      <c r="B17" s="186"/>
      <c r="C17" s="186"/>
      <c r="D17" s="186"/>
      <c r="E17" s="186"/>
      <c r="F17" s="186"/>
      <c r="G17" s="12">
        <v>10</v>
      </c>
      <c r="H17" s="120">
        <f>H18+H19+H20+H21+H22+H23+H24+H25+H26</f>
        <v>54915374</v>
      </c>
      <c r="I17" s="120">
        <f>I18+I19+I20+I21+I22+I23+I24+I25+I26</f>
        <v>91519825</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3413286</v>
      </c>
      <c r="I19" s="18">
        <v>3067790</v>
      </c>
    </row>
    <row r="20" spans="1:9" ht="12.75" customHeight="1" x14ac:dyDescent="0.2">
      <c r="A20" s="182" t="s">
        <v>15</v>
      </c>
      <c r="B20" s="182"/>
      <c r="C20" s="182"/>
      <c r="D20" s="182"/>
      <c r="E20" s="182"/>
      <c r="F20" s="182"/>
      <c r="G20" s="11">
        <v>13</v>
      </c>
      <c r="H20" s="18">
        <v>6487668</v>
      </c>
      <c r="I20" s="18">
        <v>22354263</v>
      </c>
    </row>
    <row r="21" spans="1:9" ht="12.75" customHeight="1" x14ac:dyDescent="0.2">
      <c r="A21" s="182" t="s">
        <v>16</v>
      </c>
      <c r="B21" s="182"/>
      <c r="C21" s="182"/>
      <c r="D21" s="182"/>
      <c r="E21" s="182"/>
      <c r="F21" s="182"/>
      <c r="G21" s="11">
        <v>14</v>
      </c>
      <c r="H21" s="18">
        <v>37415969</v>
      </c>
      <c r="I21" s="18">
        <v>58837895</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1110209</v>
      </c>
    </row>
    <row r="24" spans="1:9" ht="12.75" customHeight="1" x14ac:dyDescent="0.2">
      <c r="A24" s="182" t="s">
        <v>19</v>
      </c>
      <c r="B24" s="182"/>
      <c r="C24" s="182"/>
      <c r="D24" s="182"/>
      <c r="E24" s="182"/>
      <c r="F24" s="182"/>
      <c r="G24" s="11">
        <v>17</v>
      </c>
      <c r="H24" s="18">
        <v>43161</v>
      </c>
      <c r="I24" s="18">
        <v>101706</v>
      </c>
    </row>
    <row r="25" spans="1:9" ht="12.75" customHeight="1" x14ac:dyDescent="0.2">
      <c r="A25" s="182" t="s">
        <v>20</v>
      </c>
      <c r="B25" s="182"/>
      <c r="C25" s="182"/>
      <c r="D25" s="182"/>
      <c r="E25" s="182"/>
      <c r="F25" s="182"/>
      <c r="G25" s="11">
        <v>18</v>
      </c>
      <c r="H25" s="18">
        <v>2606557</v>
      </c>
      <c r="I25" s="18">
        <v>3426303</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12408328</v>
      </c>
      <c r="I27" s="120">
        <f>SUM(I28:I37)</f>
        <v>12534935</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12383328</v>
      </c>
      <c r="I35" s="18">
        <v>12509935</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46182657</v>
      </c>
      <c r="I38" s="120">
        <f>I39+I40+I41+I42</f>
        <v>53954066</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53954066</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111982102</v>
      </c>
      <c r="I44" s="120">
        <f>I45+I53+I60+I70</f>
        <v>94998716</v>
      </c>
    </row>
    <row r="45" spans="1:9" ht="12.75" customHeight="1" x14ac:dyDescent="0.2">
      <c r="A45" s="186" t="s">
        <v>39</v>
      </c>
      <c r="B45" s="186"/>
      <c r="C45" s="186"/>
      <c r="D45" s="186"/>
      <c r="E45" s="186"/>
      <c r="F45" s="186"/>
      <c r="G45" s="12">
        <v>38</v>
      </c>
      <c r="H45" s="120">
        <f>SUM(H46:H52)</f>
        <v>9891526</v>
      </c>
      <c r="I45" s="120">
        <f>SUM(I46:I52)</f>
        <v>11136036</v>
      </c>
    </row>
    <row r="46" spans="1:9" ht="12.75" customHeight="1" x14ac:dyDescent="0.2">
      <c r="A46" s="182" t="s">
        <v>40</v>
      </c>
      <c r="B46" s="182"/>
      <c r="C46" s="182"/>
      <c r="D46" s="182"/>
      <c r="E46" s="182"/>
      <c r="F46" s="182"/>
      <c r="G46" s="11">
        <v>39</v>
      </c>
      <c r="H46" s="18">
        <v>9602050</v>
      </c>
      <c r="I46" s="18">
        <v>11136036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289476</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18531327</v>
      </c>
      <c r="I53" s="120">
        <f>SUM(I54:I59)</f>
        <v>23575774</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15374234</v>
      </c>
      <c r="I56" s="18">
        <v>19132689</v>
      </c>
    </row>
    <row r="57" spans="1:9" ht="12.75" customHeight="1" x14ac:dyDescent="0.2">
      <c r="A57" s="182" t="s">
        <v>51</v>
      </c>
      <c r="B57" s="182"/>
      <c r="C57" s="182"/>
      <c r="D57" s="182"/>
      <c r="E57" s="182"/>
      <c r="F57" s="182"/>
      <c r="G57" s="11">
        <v>50</v>
      </c>
      <c r="H57" s="18">
        <v>12491</v>
      </c>
      <c r="I57" s="18">
        <v>20211</v>
      </c>
    </row>
    <row r="58" spans="1:9" ht="12.75" customHeight="1" x14ac:dyDescent="0.2">
      <c r="A58" s="182" t="s">
        <v>52</v>
      </c>
      <c r="B58" s="182"/>
      <c r="C58" s="182"/>
      <c r="D58" s="182"/>
      <c r="E58" s="182"/>
      <c r="F58" s="182"/>
      <c r="G58" s="11">
        <v>51</v>
      </c>
      <c r="H58" s="18">
        <v>1618451</v>
      </c>
      <c r="I58" s="18">
        <v>1633296</v>
      </c>
    </row>
    <row r="59" spans="1:9" ht="12.75" customHeight="1" x14ac:dyDescent="0.2">
      <c r="A59" s="182" t="s">
        <v>53</v>
      </c>
      <c r="B59" s="182"/>
      <c r="C59" s="182"/>
      <c r="D59" s="182"/>
      <c r="E59" s="182"/>
      <c r="F59" s="182"/>
      <c r="G59" s="11">
        <v>52</v>
      </c>
      <c r="H59" s="18">
        <v>1526151</v>
      </c>
      <c r="I59" s="18">
        <v>2789578</v>
      </c>
    </row>
    <row r="60" spans="1:9" ht="12.75" customHeight="1" x14ac:dyDescent="0.2">
      <c r="A60" s="186" t="s">
        <v>54</v>
      </c>
      <c r="B60" s="186"/>
      <c r="C60" s="186"/>
      <c r="D60" s="186"/>
      <c r="E60" s="186"/>
      <c r="F60" s="186"/>
      <c r="G60" s="12">
        <v>53</v>
      </c>
      <c r="H60" s="120">
        <f>SUM(H61:H69)</f>
        <v>3646171</v>
      </c>
      <c r="I60" s="120">
        <f>SUM(I61:I69)</f>
        <v>2205250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3646146</v>
      </c>
      <c r="I68" s="18">
        <v>2205225</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79913078</v>
      </c>
      <c r="I70" s="18">
        <v>58081656</v>
      </c>
    </row>
    <row r="71" spans="1:9" ht="12.75" customHeight="1" x14ac:dyDescent="0.2">
      <c r="A71" s="183" t="s">
        <v>58</v>
      </c>
      <c r="B71" s="183"/>
      <c r="C71" s="183"/>
      <c r="D71" s="183"/>
      <c r="E71" s="183"/>
      <c r="F71" s="183"/>
      <c r="G71" s="11">
        <v>64</v>
      </c>
      <c r="H71" s="18">
        <v>1906709</v>
      </c>
      <c r="I71" s="18">
        <v>8370128</v>
      </c>
    </row>
    <row r="72" spans="1:9" ht="12.75" customHeight="1" x14ac:dyDescent="0.2">
      <c r="A72" s="184" t="s">
        <v>304</v>
      </c>
      <c r="B72" s="184"/>
      <c r="C72" s="184"/>
      <c r="D72" s="184"/>
      <c r="E72" s="184"/>
      <c r="F72" s="184"/>
      <c r="G72" s="12">
        <v>65</v>
      </c>
      <c r="H72" s="120">
        <f>H8+H9+H44+H71</f>
        <v>228171849</v>
      </c>
      <c r="I72" s="120">
        <f>I8+I9+I44+I71</f>
        <v>262730407</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15170130</v>
      </c>
      <c r="I75" s="121">
        <f>I76+I77+I78+I84+I85+I91+I94+I97</f>
        <v>6272901</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412157</v>
      </c>
      <c r="I78" s="121">
        <f>SUM(I79:I83)</f>
        <v>545706</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412157</v>
      </c>
      <c r="I83" s="18">
        <v>545706</v>
      </c>
    </row>
    <row r="84" spans="1:9" ht="12.75" customHeight="1" x14ac:dyDescent="0.2">
      <c r="A84" s="185" t="s">
        <v>69</v>
      </c>
      <c r="B84" s="185"/>
      <c r="C84" s="185"/>
      <c r="D84" s="185"/>
      <c r="E84" s="185"/>
      <c r="F84" s="185"/>
      <c r="G84" s="46">
        <v>76</v>
      </c>
      <c r="H84" s="47">
        <v>412184</v>
      </c>
      <c r="I84" s="47">
        <v>412184</v>
      </c>
    </row>
    <row r="85" spans="1:9" ht="12.75" customHeight="1" x14ac:dyDescent="0.2">
      <c r="A85" s="186" t="s">
        <v>446</v>
      </c>
      <c r="B85" s="186"/>
      <c r="C85" s="186"/>
      <c r="D85" s="186"/>
      <c r="E85" s="186"/>
      <c r="F85" s="186"/>
      <c r="G85" s="12">
        <v>77</v>
      </c>
      <c r="H85" s="120">
        <f>H86+H87+H88+H89+H90</f>
        <v>63476</v>
      </c>
      <c r="I85" s="120">
        <f>I86+I87+I88+I89+I90</f>
        <v>0</v>
      </c>
    </row>
    <row r="86" spans="1:9" ht="25.5" customHeight="1" x14ac:dyDescent="0.2">
      <c r="A86" s="182" t="s">
        <v>447</v>
      </c>
      <c r="B86" s="182"/>
      <c r="C86" s="182"/>
      <c r="D86" s="182"/>
      <c r="E86" s="182"/>
      <c r="F86" s="182"/>
      <c r="G86" s="11">
        <v>78</v>
      </c>
      <c r="H86" s="18">
        <v>63476</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-80467432</v>
      </c>
      <c r="I91" s="120">
        <f>I92-I93</f>
        <v>-78239209</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80467432</v>
      </c>
      <c r="I93" s="18">
        <v>78239209</v>
      </c>
    </row>
    <row r="94" spans="1:9" ht="12.75" customHeight="1" x14ac:dyDescent="0.2">
      <c r="A94" s="186" t="s">
        <v>353</v>
      </c>
      <c r="B94" s="186"/>
      <c r="C94" s="186"/>
      <c r="D94" s="186"/>
      <c r="E94" s="186"/>
      <c r="F94" s="186"/>
      <c r="G94" s="12">
        <v>86</v>
      </c>
      <c r="H94" s="120">
        <f>H95-H96</f>
        <v>2361792</v>
      </c>
      <c r="I94" s="120">
        <f>I95-I96</f>
        <v>-8833733</v>
      </c>
    </row>
    <row r="95" spans="1:9" ht="12.75" customHeight="1" x14ac:dyDescent="0.2">
      <c r="A95" s="182" t="s">
        <v>74</v>
      </c>
      <c r="B95" s="182"/>
      <c r="C95" s="182"/>
      <c r="D95" s="182"/>
      <c r="E95" s="182"/>
      <c r="F95" s="182"/>
      <c r="G95" s="11">
        <v>87</v>
      </c>
      <c r="H95" s="18">
        <v>2361792</v>
      </c>
      <c r="I95" s="18">
        <v>0</v>
      </c>
    </row>
    <row r="96" spans="1:9" ht="12.75" customHeight="1" x14ac:dyDescent="0.2">
      <c r="A96" s="182" t="s">
        <v>75</v>
      </c>
      <c r="B96" s="182"/>
      <c r="C96" s="182"/>
      <c r="D96" s="182"/>
      <c r="E96" s="182"/>
      <c r="F96" s="182"/>
      <c r="G96" s="11">
        <v>88</v>
      </c>
      <c r="H96" s="18">
        <v>0</v>
      </c>
      <c r="I96" s="18">
        <v>8833733</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55831366</v>
      </c>
    </row>
    <row r="99" spans="1:9" ht="12.75" customHeight="1" x14ac:dyDescent="0.2">
      <c r="A99" s="182" t="s">
        <v>77</v>
      </c>
      <c r="B99" s="182"/>
      <c r="C99" s="182"/>
      <c r="D99" s="182"/>
      <c r="E99" s="182"/>
      <c r="F99" s="182"/>
      <c r="G99" s="11">
        <v>91</v>
      </c>
      <c r="H99" s="18">
        <v>278887</v>
      </c>
      <c r="I99" s="18">
        <v>278887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1420825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54131654</v>
      </c>
    </row>
    <row r="105" spans="1:9" ht="12.75" customHeight="1" x14ac:dyDescent="0.2">
      <c r="A105" s="184" t="s">
        <v>356</v>
      </c>
      <c r="B105" s="184"/>
      <c r="C105" s="184"/>
      <c r="D105" s="184"/>
      <c r="E105" s="184"/>
      <c r="F105" s="184"/>
      <c r="G105" s="12">
        <v>97</v>
      </c>
      <c r="H105" s="120">
        <f>SUM(H106:H116)</f>
        <v>107537262</v>
      </c>
      <c r="I105" s="120">
        <f>SUM(I106:I116)</f>
        <v>122858890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82059420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24980468</v>
      </c>
      <c r="I111" s="18">
        <v>39971192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895803</v>
      </c>
      <c r="I115" s="18">
        <v>821025</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57929144</v>
      </c>
      <c r="I117" s="120">
        <f>SUM(I118:I131)</f>
        <v>69106959</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1714769</v>
      </c>
      <c r="I122" s="18">
        <v>1953454</v>
      </c>
    </row>
    <row r="123" spans="1:9" ht="12.75" customHeight="1" x14ac:dyDescent="0.2">
      <c r="A123" s="182" t="s">
        <v>88</v>
      </c>
      <c r="B123" s="182"/>
      <c r="C123" s="182"/>
      <c r="D123" s="182"/>
      <c r="E123" s="182"/>
      <c r="F123" s="182"/>
      <c r="G123" s="11">
        <v>115</v>
      </c>
      <c r="H123" s="18">
        <v>11915190</v>
      </c>
      <c r="I123" s="18">
        <v>14128893</v>
      </c>
    </row>
    <row r="124" spans="1:9" ht="12.75" customHeight="1" x14ac:dyDescent="0.2">
      <c r="A124" s="182" t="s">
        <v>89</v>
      </c>
      <c r="B124" s="182"/>
      <c r="C124" s="182"/>
      <c r="D124" s="182"/>
      <c r="E124" s="182"/>
      <c r="F124" s="182"/>
      <c r="G124" s="11">
        <v>116</v>
      </c>
      <c r="H124" s="18">
        <v>301001</v>
      </c>
      <c r="I124" s="18">
        <v>236178</v>
      </c>
    </row>
    <row r="125" spans="1:9" ht="12.75" customHeight="1" x14ac:dyDescent="0.2">
      <c r="A125" s="182" t="s">
        <v>90</v>
      </c>
      <c r="B125" s="182"/>
      <c r="C125" s="182"/>
      <c r="D125" s="182"/>
      <c r="E125" s="182"/>
      <c r="F125" s="182"/>
      <c r="G125" s="11">
        <v>117</v>
      </c>
      <c r="H125" s="18">
        <v>17669858</v>
      </c>
      <c r="I125" s="18">
        <v>25211667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1751461</v>
      </c>
      <c r="I127" s="18">
        <v>2264839</v>
      </c>
    </row>
    <row r="128" spans="1:9" x14ac:dyDescent="0.2">
      <c r="A128" s="182" t="s">
        <v>95</v>
      </c>
      <c r="B128" s="182"/>
      <c r="C128" s="182"/>
      <c r="D128" s="182"/>
      <c r="E128" s="182"/>
      <c r="F128" s="182"/>
      <c r="G128" s="11">
        <v>120</v>
      </c>
      <c r="H128" s="18">
        <v>1556997</v>
      </c>
      <c r="I128" s="18">
        <v>2009465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23019868</v>
      </c>
      <c r="I131" s="18">
        <v>23302463</v>
      </c>
    </row>
    <row r="132" spans="1:9" ht="22.15" customHeight="1" x14ac:dyDescent="0.2">
      <c r="A132" s="183" t="s">
        <v>99</v>
      </c>
      <c r="B132" s="183"/>
      <c r="C132" s="183"/>
      <c r="D132" s="183"/>
      <c r="E132" s="183"/>
      <c r="F132" s="183"/>
      <c r="G132" s="11">
        <v>124</v>
      </c>
      <c r="H132" s="18">
        <v>3872216</v>
      </c>
      <c r="I132" s="18">
        <v>8660291</v>
      </c>
    </row>
    <row r="133" spans="1:9" ht="12.75" customHeight="1" x14ac:dyDescent="0.2">
      <c r="A133" s="184" t="s">
        <v>358</v>
      </c>
      <c r="B133" s="184"/>
      <c r="C133" s="184"/>
      <c r="D133" s="184"/>
      <c r="E133" s="184"/>
      <c r="F133" s="184"/>
      <c r="G133" s="12">
        <v>125</v>
      </c>
      <c r="H133" s="120">
        <f>H75+H98+H105+H117+H132</f>
        <v>228171849</v>
      </c>
      <c r="I133" s="120">
        <f>I75+I98+I105+I117+I132</f>
        <v>262730407</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6" zoomScale="89" zoomScaleNormal="89" zoomScaleSheetLayoutView="110" workbookViewId="0">
      <selection activeCell="K44" sqref="K4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472</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469</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199260226</v>
      </c>
      <c r="I8" s="52">
        <f>SUM(I9:I13)</f>
        <v>85411156</v>
      </c>
      <c r="J8" s="52">
        <f>SUM(J9:J13)</f>
        <v>199509565</v>
      </c>
      <c r="K8" s="52">
        <f>SUM(K9:K13)</f>
        <v>82379780</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175185531</v>
      </c>
      <c r="I10" s="53">
        <f>+H10-102169505</f>
        <v>73016026</v>
      </c>
      <c r="J10" s="53">
        <v>181998505</v>
      </c>
      <c r="K10" s="53">
        <f>J10-105902912</f>
        <v>76095593</v>
      </c>
    </row>
    <row r="11" spans="1:11" ht="12.75" customHeight="1" x14ac:dyDescent="0.2">
      <c r="A11" s="182" t="s">
        <v>117</v>
      </c>
      <c r="B11" s="182"/>
      <c r="C11" s="182"/>
      <c r="D11" s="182"/>
      <c r="E11" s="182"/>
      <c r="F11" s="182"/>
      <c r="G11" s="11">
        <v>4</v>
      </c>
      <c r="H11" s="53">
        <v>0</v>
      </c>
      <c r="I11" s="53">
        <f t="shared" ref="I11:I12" si="0">+H11</f>
        <v>0</v>
      </c>
      <c r="J11" s="53">
        <v>0</v>
      </c>
      <c r="K11" s="53">
        <v>0</v>
      </c>
    </row>
    <row r="12" spans="1:11" ht="12.75" customHeight="1" x14ac:dyDescent="0.2">
      <c r="A12" s="182" t="s">
        <v>118</v>
      </c>
      <c r="B12" s="182"/>
      <c r="C12" s="182"/>
      <c r="D12" s="182"/>
      <c r="E12" s="182"/>
      <c r="F12" s="182"/>
      <c r="G12" s="11">
        <v>5</v>
      </c>
      <c r="H12" s="53">
        <v>0</v>
      </c>
      <c r="I12" s="53">
        <f t="shared" si="0"/>
        <v>0</v>
      </c>
      <c r="J12" s="53">
        <v>0</v>
      </c>
      <c r="K12" s="53">
        <v>0</v>
      </c>
    </row>
    <row r="13" spans="1:11" ht="12.75" customHeight="1" x14ac:dyDescent="0.2">
      <c r="A13" s="182" t="s">
        <v>119</v>
      </c>
      <c r="B13" s="182"/>
      <c r="C13" s="182"/>
      <c r="D13" s="182"/>
      <c r="E13" s="182"/>
      <c r="F13" s="182"/>
      <c r="G13" s="11">
        <v>6</v>
      </c>
      <c r="H13" s="53">
        <v>24074695</v>
      </c>
      <c r="I13" s="53">
        <f>+H13-11679565</f>
        <v>12395130</v>
      </c>
      <c r="J13" s="53">
        <v>17511060</v>
      </c>
      <c r="K13" s="53">
        <f>J13-11226873</f>
        <v>6284187</v>
      </c>
    </row>
    <row r="14" spans="1:11" ht="12.75" customHeight="1" x14ac:dyDescent="0.2">
      <c r="A14" s="213" t="s">
        <v>360</v>
      </c>
      <c r="B14" s="213"/>
      <c r="C14" s="213"/>
      <c r="D14" s="213"/>
      <c r="E14" s="213"/>
      <c r="F14" s="213"/>
      <c r="G14" s="12">
        <v>7</v>
      </c>
      <c r="H14" s="52">
        <f>H15+H16+H20+H24+H25+H26+H29+H36</f>
        <v>191001039</v>
      </c>
      <c r="I14" s="52">
        <f>I15+I16+I20+I24+I25+I26+I29+I36</f>
        <v>79952678</v>
      </c>
      <c r="J14" s="52">
        <f>J15+J16+J20+J24+J25+J26+J29+J36</f>
        <v>208075497</v>
      </c>
      <c r="K14" s="52">
        <f>K15+K16+K20+K24+K25+K26+K29+K36</f>
        <v>81677144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129847595</v>
      </c>
      <c r="I16" s="52">
        <f>SUM(I17:I19)</f>
        <v>53739658</v>
      </c>
      <c r="J16" s="52">
        <f>SUM(J17:J19)</f>
        <v>143454641</v>
      </c>
      <c r="K16" s="52">
        <f>SUM(K17:K19)</f>
        <v>54401796</v>
      </c>
    </row>
    <row r="17" spans="1:11" ht="12.75" customHeight="1" x14ac:dyDescent="0.2">
      <c r="A17" s="216" t="s">
        <v>120</v>
      </c>
      <c r="B17" s="216"/>
      <c r="C17" s="216"/>
      <c r="D17" s="216"/>
      <c r="E17" s="216"/>
      <c r="F17" s="216"/>
      <c r="G17" s="11">
        <v>10</v>
      </c>
      <c r="H17" s="53">
        <v>42687399</v>
      </c>
      <c r="I17" s="53">
        <f>H17-23635076</f>
        <v>19052323</v>
      </c>
      <c r="J17" s="53">
        <v>43428852</v>
      </c>
      <c r="K17" s="53">
        <f>+J17-26111935</f>
        <v>17316917</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87160196</v>
      </c>
      <c r="I19" s="53">
        <f>+H19-52472861</f>
        <v>34687335</v>
      </c>
      <c r="J19" s="53">
        <v>100025789</v>
      </c>
      <c r="K19" s="53">
        <f>+J19-62940910</f>
        <v>37084879</v>
      </c>
    </row>
    <row r="20" spans="1:11" ht="12.75" customHeight="1" x14ac:dyDescent="0.2">
      <c r="A20" s="186" t="s">
        <v>441</v>
      </c>
      <c r="B20" s="186"/>
      <c r="C20" s="186"/>
      <c r="D20" s="186"/>
      <c r="E20" s="186"/>
      <c r="F20" s="186"/>
      <c r="G20" s="12">
        <v>13</v>
      </c>
      <c r="H20" s="52">
        <f>SUM(H21:H23)</f>
        <v>27102598</v>
      </c>
      <c r="I20" s="52">
        <f>SUM(I21:I23)</f>
        <v>9791126</v>
      </c>
      <c r="J20" s="52">
        <f>SUM(J21:J23)</f>
        <v>32398678</v>
      </c>
      <c r="K20" s="52">
        <f>SUM(K21:K23)</f>
        <v>11992133</v>
      </c>
    </row>
    <row r="21" spans="1:11" ht="12.75" customHeight="1" x14ac:dyDescent="0.2">
      <c r="A21" s="216" t="s">
        <v>105</v>
      </c>
      <c r="B21" s="216"/>
      <c r="C21" s="216"/>
      <c r="D21" s="216"/>
      <c r="E21" s="216"/>
      <c r="F21" s="216"/>
      <c r="G21" s="11">
        <v>14</v>
      </c>
      <c r="H21" s="53">
        <v>15122039</v>
      </c>
      <c r="I21" s="53">
        <f>+H21-9733338</f>
        <v>5388701</v>
      </c>
      <c r="J21" s="53">
        <v>18085575</v>
      </c>
      <c r="K21" s="53">
        <f>+J21-11442325</f>
        <v>6643250</v>
      </c>
    </row>
    <row r="22" spans="1:11" ht="12.75" customHeight="1" x14ac:dyDescent="0.2">
      <c r="A22" s="216" t="s">
        <v>106</v>
      </c>
      <c r="B22" s="216"/>
      <c r="C22" s="216"/>
      <c r="D22" s="216"/>
      <c r="E22" s="216"/>
      <c r="F22" s="216"/>
      <c r="G22" s="11">
        <v>15</v>
      </c>
      <c r="H22" s="53">
        <v>7059001</v>
      </c>
      <c r="I22" s="53">
        <f>+H22-4463574</f>
        <v>2595427</v>
      </c>
      <c r="J22" s="53">
        <v>8467134</v>
      </c>
      <c r="K22" s="53">
        <f>+J22-5285179</f>
        <v>3181955</v>
      </c>
    </row>
    <row r="23" spans="1:11" ht="12.75" customHeight="1" x14ac:dyDescent="0.2">
      <c r="A23" s="216" t="s">
        <v>107</v>
      </c>
      <c r="B23" s="216"/>
      <c r="C23" s="216"/>
      <c r="D23" s="216"/>
      <c r="E23" s="216"/>
      <c r="F23" s="216"/>
      <c r="G23" s="11">
        <v>16</v>
      </c>
      <c r="H23" s="53">
        <v>4921558</v>
      </c>
      <c r="I23" s="53">
        <f>+H23-3114560</f>
        <v>1806998</v>
      </c>
      <c r="J23" s="53">
        <v>5845969</v>
      </c>
      <c r="K23" s="53">
        <f>+J23-3679041</f>
        <v>2166928</v>
      </c>
    </row>
    <row r="24" spans="1:11" ht="12.75" customHeight="1" x14ac:dyDescent="0.2">
      <c r="A24" s="182" t="s">
        <v>108</v>
      </c>
      <c r="B24" s="182"/>
      <c r="C24" s="182"/>
      <c r="D24" s="182"/>
      <c r="E24" s="182"/>
      <c r="F24" s="182"/>
      <c r="G24" s="11">
        <v>17</v>
      </c>
      <c r="H24" s="53">
        <v>14018493</v>
      </c>
      <c r="I24" s="53">
        <f>+H24-9537870</f>
        <v>4480623</v>
      </c>
      <c r="J24" s="53">
        <v>17035684</v>
      </c>
      <c r="K24" s="53">
        <f>+J24-10000302</f>
        <v>7035382</v>
      </c>
    </row>
    <row r="25" spans="1:11" ht="12.75" customHeight="1" x14ac:dyDescent="0.2">
      <c r="A25" s="182" t="s">
        <v>109</v>
      </c>
      <c r="B25" s="182"/>
      <c r="C25" s="182"/>
      <c r="D25" s="182"/>
      <c r="E25" s="182"/>
      <c r="F25" s="182"/>
      <c r="G25" s="11">
        <v>18</v>
      </c>
      <c r="H25" s="53">
        <v>13646520</v>
      </c>
      <c r="I25" s="53">
        <f>+H25-5565776</f>
        <v>8080744</v>
      </c>
      <c r="J25" s="53">
        <v>14790844</v>
      </c>
      <c r="K25" s="53">
        <f>+J25-6646012</f>
        <v>8144832</v>
      </c>
    </row>
    <row r="26" spans="1:11" ht="12.75" customHeight="1" x14ac:dyDescent="0.2">
      <c r="A26" s="186" t="s">
        <v>442</v>
      </c>
      <c r="B26" s="186"/>
      <c r="C26" s="186"/>
      <c r="D26" s="186"/>
      <c r="E26" s="186"/>
      <c r="F26" s="186"/>
      <c r="G26" s="12">
        <v>19</v>
      </c>
      <c r="H26" s="52">
        <f>H27+H28</f>
        <v>9784</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9784</v>
      </c>
      <c r="I28" s="53">
        <f>+H28-9784</f>
        <v>0</v>
      </c>
      <c r="J28" s="53">
        <v>0</v>
      </c>
      <c r="K28" s="53">
        <f>J28</f>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6376049</v>
      </c>
      <c r="I36" s="53">
        <f>+H36-2515522</f>
        <v>3860527</v>
      </c>
      <c r="J36" s="53">
        <v>395650</v>
      </c>
      <c r="K36" s="53">
        <f>+J36-281365-11284</f>
        <v>103001</v>
      </c>
    </row>
    <row r="37" spans="1:11" ht="12.75" customHeight="1" x14ac:dyDescent="0.2">
      <c r="A37" s="213" t="s">
        <v>361</v>
      </c>
      <c r="B37" s="213"/>
      <c r="C37" s="213"/>
      <c r="D37" s="213"/>
      <c r="E37" s="213"/>
      <c r="F37" s="213"/>
      <c r="G37" s="12">
        <v>30</v>
      </c>
      <c r="H37" s="52">
        <f>SUM(H38:H47)</f>
        <v>6582978</v>
      </c>
      <c r="I37" s="52">
        <f>SUM(I38:I47)</f>
        <v>1093699</v>
      </c>
      <c r="J37" s="52">
        <f>SUM(J38:J47)</f>
        <v>7703263</v>
      </c>
      <c r="K37" s="52">
        <f>SUM(K38:K47)</f>
        <v>1486727</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f>+J41</f>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850808</v>
      </c>
      <c r="I44" s="53">
        <f>+H44-485103</f>
        <v>365705</v>
      </c>
      <c r="J44" s="53">
        <v>1772045</v>
      </c>
      <c r="K44" s="53">
        <f>+J44-1304310+4040</f>
        <v>471775</v>
      </c>
    </row>
    <row r="45" spans="1:11" ht="12.75" customHeight="1" x14ac:dyDescent="0.2">
      <c r="A45" s="182" t="s">
        <v>138</v>
      </c>
      <c r="B45" s="182"/>
      <c r="C45" s="182"/>
      <c r="D45" s="182"/>
      <c r="E45" s="182"/>
      <c r="F45" s="182"/>
      <c r="G45" s="11">
        <v>38</v>
      </c>
      <c r="H45" s="53">
        <v>5732170</v>
      </c>
      <c r="I45" s="53">
        <f>+H45-5004176</f>
        <v>727994</v>
      </c>
      <c r="J45" s="53">
        <v>5927178</v>
      </c>
      <c r="K45" s="53">
        <f>+J45-4912226</f>
        <v>1014952</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4040</v>
      </c>
      <c r="K47" s="53">
        <v>0</v>
      </c>
    </row>
    <row r="48" spans="1:11" ht="12.75" customHeight="1" x14ac:dyDescent="0.2">
      <c r="A48" s="213" t="s">
        <v>362</v>
      </c>
      <c r="B48" s="213"/>
      <c r="C48" s="213"/>
      <c r="D48" s="213"/>
      <c r="E48" s="213"/>
      <c r="F48" s="213"/>
      <c r="G48" s="12">
        <v>41</v>
      </c>
      <c r="H48" s="52">
        <f>SUM(H49:H55)</f>
        <v>7607522</v>
      </c>
      <c r="I48" s="52">
        <f>SUM(I49:I55)</f>
        <v>1101166</v>
      </c>
      <c r="J48" s="52">
        <f>SUM(J49:J55)</f>
        <v>7971064</v>
      </c>
      <c r="K48" s="52">
        <f>SUM(K49:K55)</f>
        <v>1573905</v>
      </c>
    </row>
    <row r="49" spans="1:11" ht="25.15" customHeight="1" x14ac:dyDescent="0.2">
      <c r="A49" s="182" t="s">
        <v>141</v>
      </c>
      <c r="B49" s="182"/>
      <c r="C49" s="182"/>
      <c r="D49" s="182"/>
      <c r="E49" s="182"/>
      <c r="F49" s="182"/>
      <c r="G49" s="11">
        <v>42</v>
      </c>
      <c r="H49" s="53">
        <v>866304</v>
      </c>
      <c r="I49" s="53">
        <f>+H49-575282</f>
        <v>291022</v>
      </c>
      <c r="J49" s="53">
        <v>1162203</v>
      </c>
      <c r="K49" s="53">
        <f>+J49-771975</f>
        <v>390228</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1308425</v>
      </c>
      <c r="I51" s="53">
        <f>+H51-900130</f>
        <v>408295</v>
      </c>
      <c r="J51" s="53">
        <v>2166491</v>
      </c>
      <c r="K51" s="53">
        <f>+J51-1271081</f>
        <v>895410</v>
      </c>
    </row>
    <row r="52" spans="1:11" ht="12.75" customHeight="1" x14ac:dyDescent="0.2">
      <c r="A52" s="206" t="s">
        <v>144</v>
      </c>
      <c r="B52" s="206"/>
      <c r="C52" s="206"/>
      <c r="D52" s="206"/>
      <c r="E52" s="206"/>
      <c r="F52" s="206"/>
      <c r="G52" s="11">
        <v>45</v>
      </c>
      <c r="H52" s="53">
        <v>5427635</v>
      </c>
      <c r="I52" s="53">
        <f>+H52-5025786</f>
        <v>401849</v>
      </c>
      <c r="J52" s="53">
        <v>4642370</v>
      </c>
      <c r="K52" s="53">
        <f>+J52-4354103</f>
        <v>288267</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5158</v>
      </c>
      <c r="I55" s="53">
        <f>+H55-5158</f>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205843204</v>
      </c>
      <c r="I60" s="52">
        <f t="shared" ref="I60:K60" si="1">I8+I37+I56+I57</f>
        <v>86504855</v>
      </c>
      <c r="J60" s="52">
        <f t="shared" si="1"/>
        <v>207212828</v>
      </c>
      <c r="K60" s="52">
        <f t="shared" si="1"/>
        <v>83866507</v>
      </c>
    </row>
    <row r="61" spans="1:11" ht="12.75" customHeight="1" x14ac:dyDescent="0.2">
      <c r="A61" s="213" t="s">
        <v>364</v>
      </c>
      <c r="B61" s="213"/>
      <c r="C61" s="213"/>
      <c r="D61" s="213"/>
      <c r="E61" s="213"/>
      <c r="F61" s="213"/>
      <c r="G61" s="12">
        <v>54</v>
      </c>
      <c r="H61" s="52">
        <f>H14+H48+H58+H59</f>
        <v>198608561</v>
      </c>
      <c r="I61" s="52">
        <f t="shared" ref="I61:K61" si="2">I14+I48+I58+I59</f>
        <v>81053844</v>
      </c>
      <c r="J61" s="52">
        <f t="shared" si="2"/>
        <v>216046561</v>
      </c>
      <c r="K61" s="52">
        <f t="shared" si="2"/>
        <v>83251049</v>
      </c>
    </row>
    <row r="62" spans="1:11" ht="12.75" customHeight="1" x14ac:dyDescent="0.2">
      <c r="A62" s="213" t="s">
        <v>365</v>
      </c>
      <c r="B62" s="213"/>
      <c r="C62" s="213"/>
      <c r="D62" s="213"/>
      <c r="E62" s="213"/>
      <c r="F62" s="213"/>
      <c r="G62" s="12">
        <v>55</v>
      </c>
      <c r="H62" s="52">
        <f>H60-H61</f>
        <v>7234643</v>
      </c>
      <c r="I62" s="52">
        <f t="shared" ref="I62:K62" si="3">I60-I61</f>
        <v>5451011</v>
      </c>
      <c r="J62" s="52">
        <f t="shared" si="3"/>
        <v>-8833733</v>
      </c>
      <c r="K62" s="52">
        <f t="shared" si="3"/>
        <v>615458</v>
      </c>
    </row>
    <row r="63" spans="1:11" ht="12.75" customHeight="1" x14ac:dyDescent="0.2">
      <c r="A63" s="214" t="s">
        <v>366</v>
      </c>
      <c r="B63" s="214"/>
      <c r="C63" s="214"/>
      <c r="D63" s="214"/>
      <c r="E63" s="214"/>
      <c r="F63" s="214"/>
      <c r="G63" s="12">
        <v>56</v>
      </c>
      <c r="H63" s="52">
        <f>+IF((H60-H61)&gt;0,(H60-H61),0)</f>
        <v>7234643</v>
      </c>
      <c r="I63" s="52">
        <f t="shared" ref="I63:K63" si="4">+IF((I60-I61)&gt;0,(I60-I61),0)</f>
        <v>5451011</v>
      </c>
      <c r="J63" s="52">
        <f t="shared" si="4"/>
        <v>0</v>
      </c>
      <c r="K63" s="52">
        <f t="shared" si="4"/>
        <v>615458</v>
      </c>
    </row>
    <row r="64" spans="1:11" ht="12.75" customHeight="1" x14ac:dyDescent="0.2">
      <c r="A64" s="214" t="s">
        <v>367</v>
      </c>
      <c r="B64" s="214"/>
      <c r="C64" s="214"/>
      <c r="D64" s="214"/>
      <c r="E64" s="214"/>
      <c r="F64" s="214"/>
      <c r="G64" s="12">
        <v>57</v>
      </c>
      <c r="H64" s="52">
        <f>+IF((H60-H61)&lt;0,(H60-H61),0)</f>
        <v>0</v>
      </c>
      <c r="I64" s="52">
        <f t="shared" ref="I64:K64" si="5">+IF((I60-I61)&lt;0,(I60-I61),0)</f>
        <v>0</v>
      </c>
      <c r="J64" s="52">
        <f t="shared" si="5"/>
        <v>-8833733</v>
      </c>
      <c r="K64" s="52">
        <f t="shared" si="5"/>
        <v>0</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7234643</v>
      </c>
      <c r="I66" s="52">
        <f t="shared" ref="I66:K66" si="6">I62-I65</f>
        <v>5451011</v>
      </c>
      <c r="J66" s="52">
        <f t="shared" si="6"/>
        <v>-8833733</v>
      </c>
      <c r="K66" s="52">
        <f t="shared" si="6"/>
        <v>615458</v>
      </c>
    </row>
    <row r="67" spans="1:11" ht="12.75" customHeight="1" x14ac:dyDescent="0.2">
      <c r="A67" s="214" t="s">
        <v>369</v>
      </c>
      <c r="B67" s="214"/>
      <c r="C67" s="214"/>
      <c r="D67" s="214"/>
      <c r="E67" s="214"/>
      <c r="F67" s="214"/>
      <c r="G67" s="12">
        <v>60</v>
      </c>
      <c r="H67" s="52">
        <f>+IF((H62-H65)&gt;0,(H62-H65),0)</f>
        <v>7234643</v>
      </c>
      <c r="I67" s="52">
        <f t="shared" ref="I67:K67" si="7">+IF((I62-I65)&gt;0,(I62-I65),0)</f>
        <v>5451011</v>
      </c>
      <c r="J67" s="52">
        <f t="shared" si="7"/>
        <v>0</v>
      </c>
      <c r="K67" s="52">
        <f t="shared" si="7"/>
        <v>615458</v>
      </c>
    </row>
    <row r="68" spans="1:11" ht="12.75" customHeight="1" x14ac:dyDescent="0.2">
      <c r="A68" s="214" t="s">
        <v>370</v>
      </c>
      <c r="B68" s="214"/>
      <c r="C68" s="214"/>
      <c r="D68" s="214"/>
      <c r="E68" s="214"/>
      <c r="F68" s="214"/>
      <c r="G68" s="12">
        <v>61</v>
      </c>
      <c r="H68" s="52">
        <f>+IF((H62-H65)&lt;0,(H62-H65),0)</f>
        <v>0</v>
      </c>
      <c r="I68" s="52">
        <f t="shared" ref="I68:K68" si="8">+IF((I62-I65)&lt;0,(I62-I65),0)</f>
        <v>0</v>
      </c>
      <c r="J68" s="52">
        <f t="shared" si="8"/>
        <v>-8833733</v>
      </c>
      <c r="K68" s="52">
        <f t="shared" si="8"/>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7234643</v>
      </c>
      <c r="I85" s="55">
        <f>I86+I87</f>
        <v>5451011</v>
      </c>
      <c r="J85" s="55">
        <f>J86+J87</f>
        <v>-8833733</v>
      </c>
      <c r="K85" s="55">
        <f>K86+K87</f>
        <v>615458</v>
      </c>
    </row>
    <row r="86" spans="1:11" ht="12.75" customHeight="1" x14ac:dyDescent="0.2">
      <c r="A86" s="203" t="s">
        <v>157</v>
      </c>
      <c r="B86" s="203"/>
      <c r="C86" s="203"/>
      <c r="D86" s="203"/>
      <c r="E86" s="203"/>
      <c r="F86" s="203"/>
      <c r="G86" s="11">
        <v>76</v>
      </c>
      <c r="H86" s="56">
        <f>H66</f>
        <v>7234643</v>
      </c>
      <c r="I86" s="56">
        <f>I66</f>
        <v>5451011</v>
      </c>
      <c r="J86" s="56">
        <f t="shared" ref="J86:K86" si="9">J66</f>
        <v>-8833733</v>
      </c>
      <c r="K86" s="56">
        <f t="shared" si="9"/>
        <v>615458</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+H86</f>
        <v>7234643</v>
      </c>
      <c r="I89" s="56">
        <f t="shared" ref="I89:K89" si="10">+I86</f>
        <v>5451011</v>
      </c>
      <c r="J89" s="56">
        <f t="shared" si="10"/>
        <v>-8833733</v>
      </c>
      <c r="K89" s="56">
        <f t="shared" si="10"/>
        <v>615458</v>
      </c>
    </row>
    <row r="90" spans="1:11" ht="24" customHeight="1" x14ac:dyDescent="0.2">
      <c r="A90" s="184" t="s">
        <v>437</v>
      </c>
      <c r="B90" s="184"/>
      <c r="C90" s="184"/>
      <c r="D90" s="184"/>
      <c r="E90" s="184"/>
      <c r="F90" s="184"/>
      <c r="G90" s="12">
        <v>79</v>
      </c>
      <c r="H90" s="73">
        <f>H91+H98</f>
        <v>127710</v>
      </c>
      <c r="I90" s="73">
        <f>I91+I98</f>
        <v>69660</v>
      </c>
      <c r="J90" s="73">
        <f t="shared" ref="J90:K90" si="11">J91+J98</f>
        <v>-63476</v>
      </c>
      <c r="K90" s="73">
        <f t="shared" si="11"/>
        <v>0</v>
      </c>
    </row>
    <row r="91" spans="1:11" ht="24" customHeight="1" x14ac:dyDescent="0.2">
      <c r="A91" s="204" t="s">
        <v>444</v>
      </c>
      <c r="B91" s="204"/>
      <c r="C91" s="204"/>
      <c r="D91" s="204"/>
      <c r="E91" s="204"/>
      <c r="F91" s="204"/>
      <c r="G91" s="12">
        <v>80</v>
      </c>
      <c r="H91" s="73">
        <f>SUM(H92:H96)</f>
        <v>0</v>
      </c>
      <c r="I91" s="73">
        <f>SUM(I92:I96)</f>
        <v>0</v>
      </c>
      <c r="J91" s="73">
        <f t="shared" ref="J91:K91" si="12">SUM(J92:J96)</f>
        <v>0</v>
      </c>
      <c r="K91" s="73">
        <f t="shared" si="12"/>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127710</v>
      </c>
      <c r="I98" s="73">
        <f>SUM(I99:I106)</f>
        <v>69660</v>
      </c>
      <c r="J98" s="73">
        <f t="shared" ref="J98:K98" si="13">SUM(J99:J106)</f>
        <v>-63476</v>
      </c>
      <c r="K98" s="73">
        <f t="shared" si="13"/>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127710</v>
      </c>
      <c r="I106" s="56">
        <f>+H106-58050</f>
        <v>69660</v>
      </c>
      <c r="J106" s="56">
        <v>-63476</v>
      </c>
      <c r="K106" s="56">
        <f>+J106+63476</f>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127710</v>
      </c>
      <c r="I108" s="73">
        <f>I91+I98-I107-I97</f>
        <v>69660</v>
      </c>
      <c r="J108" s="73">
        <f t="shared" ref="J108:K108" si="14">J91+J98-J107-J97</f>
        <v>-63476</v>
      </c>
      <c r="K108" s="73">
        <f t="shared" si="14"/>
        <v>0</v>
      </c>
    </row>
    <row r="109" spans="1:11" ht="12.75" customHeight="1" x14ac:dyDescent="0.2">
      <c r="A109" s="184" t="s">
        <v>393</v>
      </c>
      <c r="B109" s="184"/>
      <c r="C109" s="184"/>
      <c r="D109" s="184"/>
      <c r="E109" s="184"/>
      <c r="F109" s="184"/>
      <c r="G109" s="12">
        <v>98</v>
      </c>
      <c r="H109" s="55">
        <f>H89+H108</f>
        <v>7362353</v>
      </c>
      <c r="I109" s="55">
        <f>I89+I108</f>
        <v>5520671</v>
      </c>
      <c r="J109" s="55">
        <f t="shared" ref="J109:K109" si="15">J89+J108</f>
        <v>-8897209</v>
      </c>
      <c r="K109" s="55">
        <f t="shared" si="15"/>
        <v>615458</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7362353</v>
      </c>
      <c r="I111" s="55">
        <f>I112+I113</f>
        <v>5520671</v>
      </c>
      <c r="J111" s="55">
        <f>J112+J113</f>
        <v>-8897209</v>
      </c>
      <c r="K111" s="55">
        <f>K112+K113</f>
        <v>615458</v>
      </c>
    </row>
    <row r="112" spans="1:11" ht="12.75" customHeight="1" x14ac:dyDescent="0.2">
      <c r="A112" s="203" t="s">
        <v>113</v>
      </c>
      <c r="B112" s="203"/>
      <c r="C112" s="203"/>
      <c r="D112" s="203"/>
      <c r="E112" s="203"/>
      <c r="F112" s="203"/>
      <c r="G112" s="11">
        <v>100</v>
      </c>
      <c r="H112" s="56">
        <f>H109</f>
        <v>7362353</v>
      </c>
      <c r="I112" s="56">
        <f t="shared" ref="I112:K112" si="16">I109</f>
        <v>5520671</v>
      </c>
      <c r="J112" s="56">
        <f t="shared" si="16"/>
        <v>-8897209</v>
      </c>
      <c r="K112" s="56">
        <f t="shared" si="16"/>
        <v>615458</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85" workbookViewId="0">
      <selection activeCell="H23" sqref="H2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473</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470</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7234643</v>
      </c>
      <c r="I8" s="68">
        <v>-8833733</v>
      </c>
    </row>
    <row r="9" spans="1:9" ht="12.75" customHeight="1" x14ac:dyDescent="0.2">
      <c r="A9" s="237" t="s">
        <v>171</v>
      </c>
      <c r="B9" s="237"/>
      <c r="C9" s="237"/>
      <c r="D9" s="237"/>
      <c r="E9" s="237"/>
      <c r="F9" s="237"/>
      <c r="G9" s="69">
        <v>2</v>
      </c>
      <c r="H9" s="70">
        <f>H10+H11+H12+H13+H14+H15+H16+H17</f>
        <v>-6023880</v>
      </c>
      <c r="I9" s="70">
        <f>I10+I11+I12+I13+I14+I15+I16+I17</f>
        <v>-6866693</v>
      </c>
    </row>
    <row r="10" spans="1:9" ht="12.75" customHeight="1" x14ac:dyDescent="0.2">
      <c r="A10" s="216" t="s">
        <v>172</v>
      </c>
      <c r="B10" s="216"/>
      <c r="C10" s="216"/>
      <c r="D10" s="216"/>
      <c r="E10" s="216"/>
      <c r="F10" s="216"/>
      <c r="G10" s="67">
        <v>3</v>
      </c>
      <c r="H10" s="68">
        <v>14018493</v>
      </c>
      <c r="I10" s="68">
        <v>17035684</v>
      </c>
    </row>
    <row r="11" spans="1:9" ht="22.15" customHeight="1" x14ac:dyDescent="0.2">
      <c r="A11" s="216" t="s">
        <v>173</v>
      </c>
      <c r="B11" s="216"/>
      <c r="C11" s="216"/>
      <c r="D11" s="216"/>
      <c r="E11" s="216"/>
      <c r="F11" s="216"/>
      <c r="G11" s="67">
        <v>4</v>
      </c>
      <c r="H11" s="68">
        <v>-8990041</v>
      </c>
      <c r="I11" s="68">
        <v>419</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-850808</v>
      </c>
      <c r="I13" s="68">
        <v>-1776085</v>
      </c>
    </row>
    <row r="14" spans="1:9" ht="12.75" customHeight="1" x14ac:dyDescent="0.2">
      <c r="A14" s="216" t="s">
        <v>176</v>
      </c>
      <c r="B14" s="216"/>
      <c r="C14" s="216"/>
      <c r="D14" s="216"/>
      <c r="E14" s="216"/>
      <c r="F14" s="216"/>
      <c r="G14" s="67">
        <v>7</v>
      </c>
      <c r="H14" s="68">
        <v>2174729</v>
      </c>
      <c r="I14" s="68">
        <v>3328695</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208662</v>
      </c>
      <c r="I16" s="68">
        <v>-1565479</v>
      </c>
    </row>
    <row r="17" spans="1:9" ht="25.15" customHeight="1" x14ac:dyDescent="0.2">
      <c r="A17" s="216" t="s">
        <v>179</v>
      </c>
      <c r="B17" s="216"/>
      <c r="C17" s="216"/>
      <c r="D17" s="216"/>
      <c r="E17" s="216"/>
      <c r="F17" s="216"/>
      <c r="G17" s="67">
        <v>10</v>
      </c>
      <c r="H17" s="68">
        <v>-12584915</v>
      </c>
      <c r="I17" s="68">
        <v>-23889927</v>
      </c>
    </row>
    <row r="18" spans="1:9" ht="28.15" customHeight="1" x14ac:dyDescent="0.2">
      <c r="A18" s="233" t="s">
        <v>306</v>
      </c>
      <c r="B18" s="233"/>
      <c r="C18" s="233"/>
      <c r="D18" s="233"/>
      <c r="E18" s="233"/>
      <c r="F18" s="233"/>
      <c r="G18" s="69">
        <v>11</v>
      </c>
      <c r="H18" s="70">
        <f>H8+H9</f>
        <v>1210763</v>
      </c>
      <c r="I18" s="70">
        <f>I8+I9</f>
        <v>-15700426</v>
      </c>
    </row>
    <row r="19" spans="1:9" ht="12.75" customHeight="1" x14ac:dyDescent="0.2">
      <c r="A19" s="237" t="s">
        <v>180</v>
      </c>
      <c r="B19" s="237"/>
      <c r="C19" s="237"/>
      <c r="D19" s="237"/>
      <c r="E19" s="237"/>
      <c r="F19" s="237"/>
      <c r="G19" s="69">
        <v>12</v>
      </c>
      <c r="H19" s="70">
        <f>H20+H21+H22+H23</f>
        <v>25439965</v>
      </c>
      <c r="I19" s="70">
        <f>I20+I21+I22+I23</f>
        <v>28395736</v>
      </c>
    </row>
    <row r="20" spans="1:9" ht="12.75" customHeight="1" x14ac:dyDescent="0.2">
      <c r="A20" s="216" t="s">
        <v>181</v>
      </c>
      <c r="B20" s="216"/>
      <c r="C20" s="216"/>
      <c r="D20" s="216"/>
      <c r="E20" s="216"/>
      <c r="F20" s="216"/>
      <c r="G20" s="67">
        <v>13</v>
      </c>
      <c r="H20" s="68">
        <v>17367129</v>
      </c>
      <c r="I20" s="68">
        <v>10030605</v>
      </c>
    </row>
    <row r="21" spans="1:9" ht="12.75" customHeight="1" x14ac:dyDescent="0.2">
      <c r="A21" s="216" t="s">
        <v>182</v>
      </c>
      <c r="B21" s="216"/>
      <c r="C21" s="216"/>
      <c r="D21" s="216"/>
      <c r="E21" s="216"/>
      <c r="F21" s="216"/>
      <c r="G21" s="67">
        <v>14</v>
      </c>
      <c r="H21" s="68">
        <v>-9378835</v>
      </c>
      <c r="I21" s="68">
        <v>-3268362</v>
      </c>
    </row>
    <row r="22" spans="1:9" ht="12.75" customHeight="1" x14ac:dyDescent="0.2">
      <c r="A22" s="216" t="s">
        <v>183</v>
      </c>
      <c r="B22" s="216"/>
      <c r="C22" s="216"/>
      <c r="D22" s="216"/>
      <c r="E22" s="216"/>
      <c r="F22" s="216"/>
      <c r="G22" s="67">
        <v>15</v>
      </c>
      <c r="H22" s="68">
        <v>-464325</v>
      </c>
      <c r="I22" s="68">
        <v>-1244510</v>
      </c>
    </row>
    <row r="23" spans="1:9" ht="12.75" customHeight="1" x14ac:dyDescent="0.2">
      <c r="A23" s="216" t="s">
        <v>184</v>
      </c>
      <c r="B23" s="216"/>
      <c r="C23" s="216"/>
      <c r="D23" s="216"/>
      <c r="E23" s="216"/>
      <c r="F23" s="216"/>
      <c r="G23" s="67">
        <v>16</v>
      </c>
      <c r="H23" s="68">
        <f>10413889+7502107</f>
        <v>17915996</v>
      </c>
      <c r="I23" s="68">
        <v>22878003</v>
      </c>
    </row>
    <row r="24" spans="1:9" ht="12.75" customHeight="1" x14ac:dyDescent="0.2">
      <c r="A24" s="233" t="s">
        <v>185</v>
      </c>
      <c r="B24" s="233"/>
      <c r="C24" s="233"/>
      <c r="D24" s="233"/>
      <c r="E24" s="233"/>
      <c r="F24" s="233"/>
      <c r="G24" s="69">
        <v>17</v>
      </c>
      <c r="H24" s="70">
        <f>H18+H19</f>
        <v>26650728</v>
      </c>
      <c r="I24" s="70">
        <f>I18+I19</f>
        <v>12695310</v>
      </c>
    </row>
    <row r="25" spans="1:9" ht="12.75" customHeight="1" x14ac:dyDescent="0.2">
      <c r="A25" s="182" t="s">
        <v>186</v>
      </c>
      <c r="B25" s="182"/>
      <c r="C25" s="182"/>
      <c r="D25" s="182"/>
      <c r="E25" s="182"/>
      <c r="F25" s="182"/>
      <c r="G25" s="67">
        <v>18</v>
      </c>
      <c r="H25" s="68">
        <v>-909378</v>
      </c>
      <c r="I25" s="68">
        <v>-2178643</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25741350</v>
      </c>
      <c r="I27" s="70">
        <f>I24+I25+I26</f>
        <v>10516667</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22173529</v>
      </c>
      <c r="I29" s="71">
        <v>33914</v>
      </c>
    </row>
    <row r="30" spans="1:9" ht="12.75" customHeight="1" x14ac:dyDescent="0.2">
      <c r="A30" s="182" t="s">
        <v>191</v>
      </c>
      <c r="B30" s="182"/>
      <c r="C30" s="182"/>
      <c r="D30" s="182"/>
      <c r="E30" s="182"/>
      <c r="F30" s="182"/>
      <c r="G30" s="67">
        <v>22</v>
      </c>
      <c r="H30" s="71">
        <v>0</v>
      </c>
      <c r="I30" s="71">
        <v>290243</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22173529</v>
      </c>
      <c r="I35" s="72">
        <f>I29+I30+I31+I32+I33+I34</f>
        <v>324157</v>
      </c>
    </row>
    <row r="36" spans="1:9" ht="22.9" customHeight="1" x14ac:dyDescent="0.2">
      <c r="A36" s="182" t="s">
        <v>197</v>
      </c>
      <c r="B36" s="182"/>
      <c r="C36" s="182"/>
      <c r="D36" s="182"/>
      <c r="E36" s="182"/>
      <c r="F36" s="182"/>
      <c r="G36" s="67">
        <v>28</v>
      </c>
      <c r="H36" s="71">
        <v>-7054289</v>
      </c>
      <c r="I36" s="71">
        <v>-10839156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-7502107</v>
      </c>
      <c r="I40" s="71">
        <v>-9668942</v>
      </c>
    </row>
    <row r="41" spans="1:9" ht="24" customHeight="1" x14ac:dyDescent="0.2">
      <c r="A41" s="233" t="s">
        <v>202</v>
      </c>
      <c r="B41" s="233"/>
      <c r="C41" s="233"/>
      <c r="D41" s="233"/>
      <c r="E41" s="233"/>
      <c r="F41" s="233"/>
      <c r="G41" s="69">
        <v>33</v>
      </c>
      <c r="H41" s="72">
        <f>H36+H37+H38+H39+H40</f>
        <v>-14556396</v>
      </c>
      <c r="I41" s="72">
        <f>I36+I37+I38+I39+I40</f>
        <v>-20508098</v>
      </c>
    </row>
    <row r="42" spans="1:9" ht="29.45" customHeight="1" x14ac:dyDescent="0.2">
      <c r="A42" s="234" t="s">
        <v>203</v>
      </c>
      <c r="B42" s="234"/>
      <c r="C42" s="234"/>
      <c r="D42" s="234"/>
      <c r="E42" s="234"/>
      <c r="F42" s="234"/>
      <c r="G42" s="69">
        <v>34</v>
      </c>
      <c r="H42" s="72">
        <f>H35+H41</f>
        <v>7617133</v>
      </c>
      <c r="I42" s="72">
        <f>I35+I41</f>
        <v>-20183941</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-2950000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-9162298</v>
      </c>
      <c r="I53" s="71">
        <v>-12164148</v>
      </c>
    </row>
    <row r="54" spans="1:9" ht="30.6" customHeight="1" x14ac:dyDescent="0.2">
      <c r="A54" s="233" t="s">
        <v>214</v>
      </c>
      <c r="B54" s="233"/>
      <c r="C54" s="233"/>
      <c r="D54" s="233"/>
      <c r="E54" s="233"/>
      <c r="F54" s="233"/>
      <c r="G54" s="69">
        <v>45</v>
      </c>
      <c r="H54" s="72">
        <f>H49+H50+H51+H52+H53</f>
        <v>-12112298</v>
      </c>
      <c r="I54" s="72">
        <f>I49+I50+I51+I52+I53</f>
        <v>-12164148</v>
      </c>
    </row>
    <row r="55" spans="1:9" ht="29.45" customHeight="1" x14ac:dyDescent="0.2">
      <c r="A55" s="234" t="s">
        <v>215</v>
      </c>
      <c r="B55" s="234"/>
      <c r="C55" s="234"/>
      <c r="D55" s="234"/>
      <c r="E55" s="234"/>
      <c r="F55" s="234"/>
      <c r="G55" s="69">
        <v>46</v>
      </c>
      <c r="H55" s="72">
        <f>H48+H54</f>
        <v>-12112298</v>
      </c>
      <c r="I55" s="72">
        <f>I48+I54</f>
        <v>-12164148</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21246185</v>
      </c>
      <c r="I57" s="72">
        <f>I27+I42+I55+I56</f>
        <v>-21831422</v>
      </c>
    </row>
    <row r="58" spans="1:9" x14ac:dyDescent="0.2">
      <c r="A58" s="236" t="s">
        <v>218</v>
      </c>
      <c r="B58" s="236"/>
      <c r="C58" s="236"/>
      <c r="D58" s="236"/>
      <c r="E58" s="236"/>
      <c r="F58" s="236"/>
      <c r="G58" s="67">
        <v>49</v>
      </c>
      <c r="H58" s="71">
        <v>77021826</v>
      </c>
      <c r="I58" s="71">
        <v>79913078</v>
      </c>
    </row>
    <row r="59" spans="1:9" ht="31.15" customHeight="1" x14ac:dyDescent="0.2">
      <c r="A59" s="234" t="s">
        <v>219</v>
      </c>
      <c r="B59" s="234"/>
      <c r="C59" s="234"/>
      <c r="D59" s="234"/>
      <c r="E59" s="234"/>
      <c r="F59" s="234"/>
      <c r="G59" s="69">
        <v>50</v>
      </c>
      <c r="H59" s="72">
        <f>H57+H58</f>
        <v>98268011</v>
      </c>
      <c r="I59" s="72">
        <f>I57+I58</f>
        <v>58081656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E1" zoomScaleNormal="10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45565</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83333935</v>
      </c>
      <c r="I7" s="33">
        <v>39285951</v>
      </c>
      <c r="J7" s="33">
        <v>0</v>
      </c>
      <c r="K7" s="33">
        <v>0</v>
      </c>
      <c r="L7" s="33">
        <v>0</v>
      </c>
      <c r="M7" s="33">
        <v>0</v>
      </c>
      <c r="N7" s="33">
        <v>412239</v>
      </c>
      <c r="O7" s="33">
        <v>0</v>
      </c>
      <c r="P7" s="33">
        <v>-56494</v>
      </c>
      <c r="Q7" s="33">
        <v>0</v>
      </c>
      <c r="R7" s="33">
        <v>0</v>
      </c>
      <c r="S7" s="33">
        <v>0</v>
      </c>
      <c r="T7" s="33">
        <v>0</v>
      </c>
      <c r="U7" s="33">
        <v>-92763964</v>
      </c>
      <c r="V7" s="33">
        <v>-17935484</v>
      </c>
      <c r="W7" s="34">
        <f>H7+I7+J7+K7-L7+M7+N7+O7+P7+Q7+R7+U7+V7+S7+T7</f>
        <v>12276183</v>
      </c>
      <c r="X7" s="33">
        <v>0</v>
      </c>
      <c r="Y7" s="34">
        <f>W7+X7</f>
        <v>12276183</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83333935</v>
      </c>
      <c r="I10" s="34">
        <f t="shared" ref="I10:Y10" si="2">I7+I8+I9</f>
        <v>39285951</v>
      </c>
      <c r="J10" s="34">
        <f t="shared" si="2"/>
        <v>0</v>
      </c>
      <c r="K10" s="34">
        <f>K7+K8+K9</f>
        <v>0</v>
      </c>
      <c r="L10" s="34">
        <f t="shared" si="2"/>
        <v>0</v>
      </c>
      <c r="M10" s="34">
        <f t="shared" si="2"/>
        <v>0</v>
      </c>
      <c r="N10" s="34">
        <f t="shared" si="2"/>
        <v>412239</v>
      </c>
      <c r="O10" s="34">
        <f t="shared" si="2"/>
        <v>0</v>
      </c>
      <c r="P10" s="34">
        <f t="shared" si="2"/>
        <v>-56494</v>
      </c>
      <c r="Q10" s="34">
        <f t="shared" si="2"/>
        <v>0</v>
      </c>
      <c r="R10" s="34">
        <f t="shared" si="2"/>
        <v>0</v>
      </c>
      <c r="S10" s="34">
        <f t="shared" si="2"/>
        <v>0</v>
      </c>
      <c r="T10" s="34">
        <f t="shared" si="2"/>
        <v>0</v>
      </c>
      <c r="U10" s="34">
        <f t="shared" si="2"/>
        <v>-92763964</v>
      </c>
      <c r="V10" s="34">
        <f t="shared" si="2"/>
        <v>-17935484</v>
      </c>
      <c r="W10" s="34">
        <f t="shared" si="2"/>
        <v>12276183</v>
      </c>
      <c r="X10" s="34">
        <f t="shared" si="2"/>
        <v>0</v>
      </c>
      <c r="Y10" s="34">
        <f t="shared" si="2"/>
        <v>12276183</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RDG!H62</f>
        <v>7234643</v>
      </c>
      <c r="W11" s="34">
        <f t="shared" ref="W11:W29" si="3">H11+I11+J11+K11-L11+M11+N11+O11+P11+Q11+R11+U11+V11+S11+T11</f>
        <v>7234643</v>
      </c>
      <c r="X11" s="33">
        <v>0</v>
      </c>
      <c r="Y11" s="34">
        <f t="shared" ref="Y11:Y29" si="4">W11+X11</f>
        <v>7234643</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f>RDG!H106-1</f>
        <v>127709</v>
      </c>
      <c r="Q14" s="35">
        <v>0</v>
      </c>
      <c r="R14" s="35">
        <v>0</v>
      </c>
      <c r="S14" s="33">
        <v>0</v>
      </c>
      <c r="T14" s="33">
        <v>0</v>
      </c>
      <c r="U14" s="33">
        <v>0</v>
      </c>
      <c r="V14" s="33">
        <v>0</v>
      </c>
      <c r="W14" s="34">
        <f t="shared" si="3"/>
        <v>127709</v>
      </c>
      <c r="X14" s="33">
        <v>0</v>
      </c>
      <c r="Y14" s="34">
        <f t="shared" si="4"/>
        <v>127709</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-30231933</v>
      </c>
      <c r="I19" s="33">
        <v>0</v>
      </c>
      <c r="J19" s="33">
        <v>0</v>
      </c>
      <c r="K19" s="33">
        <v>0</v>
      </c>
      <c r="L19" s="33">
        <v>0</v>
      </c>
      <c r="M19" s="33">
        <v>0</v>
      </c>
      <c r="N19" s="33">
        <v>0</v>
      </c>
      <c r="O19" s="33">
        <v>0</v>
      </c>
      <c r="P19" s="33">
        <v>0</v>
      </c>
      <c r="Q19" s="33">
        <v>0</v>
      </c>
      <c r="R19" s="33">
        <v>0</v>
      </c>
      <c r="S19" s="33">
        <v>0</v>
      </c>
      <c r="T19" s="33">
        <v>0</v>
      </c>
      <c r="U19" s="33">
        <v>30231933</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39285951</v>
      </c>
      <c r="I25" s="33">
        <v>-39285951</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133467</v>
      </c>
      <c r="O27" s="33">
        <v>0</v>
      </c>
      <c r="P27" s="33">
        <v>0</v>
      </c>
      <c r="Q27" s="33">
        <v>0</v>
      </c>
      <c r="R27" s="33">
        <v>0</v>
      </c>
      <c r="S27" s="33">
        <v>0</v>
      </c>
      <c r="T27" s="33">
        <v>0</v>
      </c>
      <c r="U27" s="33">
        <v>0</v>
      </c>
      <c r="V27" s="33">
        <v>0</v>
      </c>
      <c r="W27" s="34">
        <f t="shared" si="3"/>
        <v>133467</v>
      </c>
      <c r="X27" s="33">
        <v>0</v>
      </c>
      <c r="Y27" s="34">
        <f t="shared" si="4"/>
        <v>133467</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-18068951</v>
      </c>
      <c r="V28" s="33">
        <v>17935484</v>
      </c>
      <c r="W28" s="34">
        <f t="shared" si="3"/>
        <v>-133467</v>
      </c>
      <c r="X28" s="33">
        <v>0</v>
      </c>
      <c r="Y28" s="34">
        <f t="shared" si="4"/>
        <v>-133467</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92387953</v>
      </c>
      <c r="I30" s="36">
        <f t="shared" ref="I30:Y30" si="5">SUM(I10:I29)</f>
        <v>0</v>
      </c>
      <c r="J30" s="36">
        <f t="shared" si="5"/>
        <v>0</v>
      </c>
      <c r="K30" s="36">
        <f t="shared" si="5"/>
        <v>0</v>
      </c>
      <c r="L30" s="36">
        <f t="shared" si="5"/>
        <v>0</v>
      </c>
      <c r="M30" s="36">
        <f t="shared" si="5"/>
        <v>0</v>
      </c>
      <c r="N30" s="36">
        <f t="shared" si="5"/>
        <v>545706</v>
      </c>
      <c r="O30" s="36">
        <f t="shared" si="5"/>
        <v>0</v>
      </c>
      <c r="P30" s="36">
        <f t="shared" si="5"/>
        <v>71215</v>
      </c>
      <c r="Q30" s="36">
        <f t="shared" si="5"/>
        <v>0</v>
      </c>
      <c r="R30" s="36">
        <f t="shared" si="5"/>
        <v>0</v>
      </c>
      <c r="S30" s="36">
        <f t="shared" si="5"/>
        <v>0</v>
      </c>
      <c r="T30" s="36">
        <f t="shared" si="5"/>
        <v>0</v>
      </c>
      <c r="U30" s="36">
        <f t="shared" si="5"/>
        <v>-80600982</v>
      </c>
      <c r="V30" s="36">
        <f t="shared" si="5"/>
        <v>7234643</v>
      </c>
      <c r="W30" s="36">
        <f t="shared" si="5"/>
        <v>19638535</v>
      </c>
      <c r="X30" s="36">
        <f t="shared" si="5"/>
        <v>0</v>
      </c>
      <c r="Y30" s="36">
        <f t="shared" si="5"/>
        <v>19638535</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-30231933</v>
      </c>
      <c r="I32" s="34">
        <f t="shared" ref="I32:Y32" si="6">SUM(I12:I20)</f>
        <v>0</v>
      </c>
      <c r="J32" s="34">
        <f t="shared" si="6"/>
        <v>0</v>
      </c>
      <c r="K32" s="34">
        <f t="shared" si="6"/>
        <v>0</v>
      </c>
      <c r="L32" s="34">
        <f t="shared" si="6"/>
        <v>0</v>
      </c>
      <c r="M32" s="34">
        <f t="shared" si="6"/>
        <v>0</v>
      </c>
      <c r="N32" s="34">
        <f t="shared" si="6"/>
        <v>0</v>
      </c>
      <c r="O32" s="34">
        <f t="shared" si="6"/>
        <v>0</v>
      </c>
      <c r="P32" s="34">
        <f t="shared" si="6"/>
        <v>127709</v>
      </c>
      <c r="Q32" s="34">
        <f t="shared" si="6"/>
        <v>0</v>
      </c>
      <c r="R32" s="34">
        <f t="shared" si="6"/>
        <v>0</v>
      </c>
      <c r="S32" s="34">
        <f t="shared" ref="S32:T32" si="7">SUM(S12:S20)</f>
        <v>0</v>
      </c>
      <c r="T32" s="34">
        <f t="shared" si="7"/>
        <v>0</v>
      </c>
      <c r="U32" s="34">
        <f t="shared" si="6"/>
        <v>30231933</v>
      </c>
      <c r="V32" s="34">
        <f t="shared" si="6"/>
        <v>0</v>
      </c>
      <c r="W32" s="34">
        <f t="shared" si="6"/>
        <v>127709</v>
      </c>
      <c r="X32" s="34">
        <f t="shared" si="6"/>
        <v>0</v>
      </c>
      <c r="Y32" s="34">
        <f t="shared" si="6"/>
        <v>127709</v>
      </c>
    </row>
    <row r="33" spans="1:25" ht="31.5" customHeight="1" x14ac:dyDescent="0.2">
      <c r="A33" s="267" t="s">
        <v>428</v>
      </c>
      <c r="B33" s="267"/>
      <c r="C33" s="267"/>
      <c r="D33" s="267"/>
      <c r="E33" s="267"/>
      <c r="F33" s="267"/>
      <c r="G33" s="7">
        <v>26</v>
      </c>
      <c r="H33" s="34">
        <f>H11+H32</f>
        <v>-30231933</v>
      </c>
      <c r="I33" s="34">
        <f t="shared" ref="I33:Y33" si="8">I11+I32</f>
        <v>0</v>
      </c>
      <c r="J33" s="34">
        <f t="shared" si="8"/>
        <v>0</v>
      </c>
      <c r="K33" s="34">
        <f t="shared" si="8"/>
        <v>0</v>
      </c>
      <c r="L33" s="34">
        <f t="shared" si="8"/>
        <v>0</v>
      </c>
      <c r="M33" s="34">
        <f t="shared" si="8"/>
        <v>0</v>
      </c>
      <c r="N33" s="34">
        <f t="shared" si="8"/>
        <v>0</v>
      </c>
      <c r="O33" s="34">
        <f t="shared" si="8"/>
        <v>0</v>
      </c>
      <c r="P33" s="34">
        <f t="shared" si="8"/>
        <v>127709</v>
      </c>
      <c r="Q33" s="34">
        <f t="shared" si="8"/>
        <v>0</v>
      </c>
      <c r="R33" s="34">
        <f t="shared" si="8"/>
        <v>0</v>
      </c>
      <c r="S33" s="34">
        <f t="shared" ref="S33:T33" si="9">S11+S32</f>
        <v>0</v>
      </c>
      <c r="T33" s="34">
        <f t="shared" si="9"/>
        <v>0</v>
      </c>
      <c r="U33" s="34">
        <f t="shared" si="8"/>
        <v>30231933</v>
      </c>
      <c r="V33" s="34">
        <f t="shared" si="8"/>
        <v>7234643</v>
      </c>
      <c r="W33" s="34">
        <f t="shared" si="8"/>
        <v>7362352</v>
      </c>
      <c r="X33" s="34">
        <f t="shared" si="8"/>
        <v>0</v>
      </c>
      <c r="Y33" s="34">
        <f t="shared" si="8"/>
        <v>7362352</v>
      </c>
    </row>
    <row r="34" spans="1:25" ht="30.75" customHeight="1" x14ac:dyDescent="0.2">
      <c r="A34" s="268" t="s">
        <v>429</v>
      </c>
      <c r="B34" s="268"/>
      <c r="C34" s="268"/>
      <c r="D34" s="268"/>
      <c r="E34" s="268"/>
      <c r="F34" s="268"/>
      <c r="G34" s="8">
        <v>27</v>
      </c>
      <c r="H34" s="36">
        <f>SUM(H21:H29)</f>
        <v>39285951</v>
      </c>
      <c r="I34" s="36">
        <f t="shared" ref="I34:Y34" si="10">SUM(I21:I29)</f>
        <v>-39285951</v>
      </c>
      <c r="J34" s="36">
        <f t="shared" si="10"/>
        <v>0</v>
      </c>
      <c r="K34" s="36">
        <f t="shared" si="10"/>
        <v>0</v>
      </c>
      <c r="L34" s="36">
        <f t="shared" si="10"/>
        <v>0</v>
      </c>
      <c r="M34" s="36">
        <f t="shared" si="10"/>
        <v>0</v>
      </c>
      <c r="N34" s="36">
        <f t="shared" si="10"/>
        <v>133467</v>
      </c>
      <c r="O34" s="36">
        <f t="shared" si="10"/>
        <v>0</v>
      </c>
      <c r="P34" s="36">
        <f t="shared" si="10"/>
        <v>0</v>
      </c>
      <c r="Q34" s="36">
        <f t="shared" si="10"/>
        <v>0</v>
      </c>
      <c r="R34" s="36">
        <f t="shared" si="10"/>
        <v>0</v>
      </c>
      <c r="S34" s="36">
        <f t="shared" ref="S34:T34" si="11">SUM(S21:S29)</f>
        <v>0</v>
      </c>
      <c r="T34" s="36">
        <f t="shared" si="11"/>
        <v>0</v>
      </c>
      <c r="U34" s="36">
        <f t="shared" si="10"/>
        <v>-18068951</v>
      </c>
      <c r="V34" s="36">
        <f t="shared" si="10"/>
        <v>17935484</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92387953</v>
      </c>
      <c r="I36" s="33">
        <f>Bilanca!H77</f>
        <v>0</v>
      </c>
      <c r="J36" s="33">
        <v>0</v>
      </c>
      <c r="K36" s="33">
        <v>0</v>
      </c>
      <c r="L36" s="33">
        <v>0</v>
      </c>
      <c r="M36" s="33">
        <v>0</v>
      </c>
      <c r="N36" s="33">
        <f>Bilanca!H83</f>
        <v>412157</v>
      </c>
      <c r="O36" s="33">
        <f>Bilanca!H84</f>
        <v>412184</v>
      </c>
      <c r="P36" s="33">
        <f>Bilanca!H86</f>
        <v>63476</v>
      </c>
      <c r="Q36" s="33">
        <v>0</v>
      </c>
      <c r="R36" s="33">
        <v>0</v>
      </c>
      <c r="S36" s="33">
        <v>0</v>
      </c>
      <c r="T36" s="33">
        <v>0</v>
      </c>
      <c r="U36" s="33">
        <f>Bilanca!H91</f>
        <v>-80467432</v>
      </c>
      <c r="V36" s="33">
        <f>Bilanca!H94</f>
        <v>2361792</v>
      </c>
      <c r="W36" s="37">
        <f>H36+I36+J36+K36-L36+M36+N36+O36+P36+Q36+R36+U36+V36+S36+T36</f>
        <v>15170130</v>
      </c>
      <c r="X36" s="33">
        <v>0</v>
      </c>
      <c r="Y36" s="37">
        <f t="shared" ref="Y36:Y38" si="12">W36+X36</f>
        <v>15170130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92387953</v>
      </c>
      <c r="I39" s="34">
        <f t="shared" ref="I39:Y39" si="14">I36+I37+I38</f>
        <v>0</v>
      </c>
      <c r="J39" s="34">
        <f t="shared" si="14"/>
        <v>0</v>
      </c>
      <c r="K39" s="34">
        <f t="shared" si="14"/>
        <v>0</v>
      </c>
      <c r="L39" s="34">
        <f t="shared" si="14"/>
        <v>0</v>
      </c>
      <c r="M39" s="34">
        <f t="shared" si="14"/>
        <v>0</v>
      </c>
      <c r="N39" s="34">
        <f t="shared" si="14"/>
        <v>412157</v>
      </c>
      <c r="O39" s="34">
        <f t="shared" si="14"/>
        <v>412184</v>
      </c>
      <c r="P39" s="34">
        <f t="shared" si="14"/>
        <v>63476</v>
      </c>
      <c r="Q39" s="34">
        <f t="shared" si="14"/>
        <v>0</v>
      </c>
      <c r="R39" s="34">
        <f t="shared" si="14"/>
        <v>0</v>
      </c>
      <c r="S39" s="34">
        <f t="shared" si="14"/>
        <v>0</v>
      </c>
      <c r="T39" s="34">
        <f t="shared" si="14"/>
        <v>0</v>
      </c>
      <c r="U39" s="34">
        <f t="shared" si="14"/>
        <v>-80467432</v>
      </c>
      <c r="V39" s="34">
        <f t="shared" si="14"/>
        <v>2361792</v>
      </c>
      <c r="W39" s="34">
        <f t="shared" si="14"/>
        <v>15170130</v>
      </c>
      <c r="X39" s="34">
        <f t="shared" si="14"/>
        <v>0</v>
      </c>
      <c r="Y39" s="34">
        <f t="shared" si="14"/>
        <v>15170130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RDG!J62</f>
        <v>-8833733</v>
      </c>
      <c r="W40" s="37">
        <f t="shared" ref="W40:W58" si="15">H40+I40+J40+K40-L40+M40+N40+O40+P40+Q40+R40+U40+V40+S40+T40</f>
        <v>-8833733</v>
      </c>
      <c r="X40" s="33">
        <v>0</v>
      </c>
      <c r="Y40" s="37">
        <f t="shared" ref="Y40:Y58" si="16">W40+X40</f>
        <v>-8833733</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f>Bilanca!I83-N36</f>
        <v>133549</v>
      </c>
      <c r="O57" s="33">
        <v>0</v>
      </c>
      <c r="P57" s="33">
        <v>0</v>
      </c>
      <c r="Q57" s="33">
        <v>0</v>
      </c>
      <c r="R57" s="33">
        <v>0</v>
      </c>
      <c r="S57" s="33">
        <v>0</v>
      </c>
      <c r="T57" s="33">
        <v>0</v>
      </c>
      <c r="U57" s="33">
        <f>2180767+47456</f>
        <v>2228223</v>
      </c>
      <c r="V57" s="33">
        <f>V36*-1</f>
        <v>-2361792</v>
      </c>
      <c r="W57" s="37">
        <f t="shared" si="15"/>
        <v>-20</v>
      </c>
      <c r="X57" s="33">
        <v>0</v>
      </c>
      <c r="Y57" s="37">
        <f t="shared" si="16"/>
        <v>-20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92387953</v>
      </c>
      <c r="I59" s="36">
        <f t="shared" ref="I59:Y59" si="17">SUM(I39:I58)</f>
        <v>0</v>
      </c>
      <c r="J59" s="36">
        <f t="shared" si="17"/>
        <v>0</v>
      </c>
      <c r="K59" s="36">
        <f t="shared" si="17"/>
        <v>0</v>
      </c>
      <c r="L59" s="36">
        <f t="shared" si="17"/>
        <v>0</v>
      </c>
      <c r="M59" s="36">
        <f t="shared" si="17"/>
        <v>0</v>
      </c>
      <c r="N59" s="36">
        <f t="shared" si="17"/>
        <v>545706</v>
      </c>
      <c r="O59" s="36">
        <f t="shared" si="17"/>
        <v>412184</v>
      </c>
      <c r="P59" s="36">
        <f t="shared" si="17"/>
        <v>0</v>
      </c>
      <c r="Q59" s="36">
        <f t="shared" si="17"/>
        <v>0</v>
      </c>
      <c r="R59" s="36">
        <f t="shared" si="17"/>
        <v>0</v>
      </c>
      <c r="S59" s="36">
        <f t="shared" si="17"/>
        <v>0</v>
      </c>
      <c r="T59" s="36">
        <f t="shared" si="17"/>
        <v>0</v>
      </c>
      <c r="U59" s="36">
        <f t="shared" si="17"/>
        <v>-78239209</v>
      </c>
      <c r="V59" s="36">
        <f t="shared" si="17"/>
        <v>-8833733</v>
      </c>
      <c r="W59" s="36">
        <f t="shared" si="17"/>
        <v>6272901</v>
      </c>
      <c r="X59" s="36">
        <f t="shared" si="17"/>
        <v>0</v>
      </c>
      <c r="Y59" s="36">
        <f t="shared" si="17"/>
        <v>6272901</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-63476</v>
      </c>
      <c r="Q61" s="37">
        <f t="shared" si="18"/>
        <v>0</v>
      </c>
      <c r="R61" s="37">
        <f t="shared" si="18"/>
        <v>0</v>
      </c>
      <c r="S61" s="37">
        <f t="shared" ref="S61:T61" si="19">SUM(S41:S49)</f>
        <v>0</v>
      </c>
      <c r="T61" s="37">
        <f t="shared" si="19"/>
        <v>0</v>
      </c>
      <c r="U61" s="37">
        <f t="shared" si="18"/>
        <v>0</v>
      </c>
      <c r="V61" s="37">
        <f t="shared" si="18"/>
        <v>0</v>
      </c>
      <c r="W61" s="37">
        <f t="shared" si="18"/>
        <v>-63476</v>
      </c>
      <c r="X61" s="37">
        <f t="shared" si="18"/>
        <v>0</v>
      </c>
      <c r="Y61" s="37">
        <f t="shared" si="18"/>
        <v>-63476</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-63476</v>
      </c>
      <c r="Q62" s="37">
        <f t="shared" si="20"/>
        <v>0</v>
      </c>
      <c r="R62" s="37">
        <f t="shared" si="20"/>
        <v>0</v>
      </c>
      <c r="S62" s="37">
        <f t="shared" ref="S62:T62" si="21">S40+S61</f>
        <v>0</v>
      </c>
      <c r="T62" s="37">
        <f t="shared" si="21"/>
        <v>0</v>
      </c>
      <c r="U62" s="37">
        <f t="shared" si="20"/>
        <v>0</v>
      </c>
      <c r="V62" s="37">
        <f t="shared" si="20"/>
        <v>-8833733</v>
      </c>
      <c r="W62" s="37">
        <f t="shared" si="20"/>
        <v>-8897209</v>
      </c>
      <c r="X62" s="37">
        <f t="shared" si="20"/>
        <v>0</v>
      </c>
      <c r="Y62" s="37">
        <f t="shared" si="20"/>
        <v>-8897209</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133549</v>
      </c>
      <c r="O63" s="38">
        <f t="shared" si="22"/>
        <v>0</v>
      </c>
      <c r="P63" s="38">
        <f t="shared" si="22"/>
        <v>0</v>
      </c>
      <c r="Q63" s="38">
        <f t="shared" si="22"/>
        <v>0</v>
      </c>
      <c r="R63" s="38">
        <f t="shared" si="22"/>
        <v>0</v>
      </c>
      <c r="S63" s="38">
        <f t="shared" ref="S63:T63" si="23">SUM(S50:S58)</f>
        <v>0</v>
      </c>
      <c r="T63" s="38">
        <f t="shared" si="23"/>
        <v>0</v>
      </c>
      <c r="U63" s="38">
        <f t="shared" si="22"/>
        <v>2228223</v>
      </c>
      <c r="V63" s="38">
        <f t="shared" si="22"/>
        <v>-2361792</v>
      </c>
      <c r="W63" s="38">
        <f t="shared" si="22"/>
        <v>-20</v>
      </c>
      <c r="X63" s="38">
        <f t="shared" si="22"/>
        <v>0</v>
      </c>
      <c r="Y63" s="38">
        <f t="shared" si="22"/>
        <v>-20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M21" sqref="M21"/>
    </sheetView>
  </sheetViews>
  <sheetFormatPr defaultRowHeight="12.75" x14ac:dyDescent="0.2"/>
  <cols>
    <col min="9" max="9" width="95" customWidth="1"/>
  </cols>
  <sheetData>
    <row r="1" spans="1:9" x14ac:dyDescent="0.2">
      <c r="A1" s="294" t="s">
        <v>474</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2024-10-31T10:41:52Z</cp:lastPrinted>
  <dcterms:created xsi:type="dcterms:W3CDTF">2008-10-17T11:51:54Z</dcterms:created>
  <dcterms:modified xsi:type="dcterms:W3CDTF">2024-10-31T11:19:16Z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