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aveExternalLinkValues="0" codeName="ThisWorkbook" defaultThemeVersion="124226"/>
  <mc:AlternateContent xmlns:mc="http://schemas.openxmlformats.org/markup-compatibility/2006">
    <mc:Choice Requires="x15">
      <x15ac:absPath xmlns:x15ac="http://schemas.microsoft.com/office/spreadsheetml/2010/11/ac" url="Y:\JAVNA OBJAVA\2025 JAVNA OBJAVA ZTK\2. kvartal 2025\1-6 CTN\"/>
    </mc:Choice>
  </mc:AlternateContent>
  <xr:revisionPtr revIDLastSave="0" documentId="13_ncr:1_{A51B6E46-B453-4D38-AC97-BBFB15F937F6}" xr6:coauthVersionLast="47" xr6:coauthVersionMax="47" xr10:uidLastSave="{00000000-0000-0000-0000-000000000000}"/>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22" l="1"/>
  <c r="I10" i="26"/>
  <c r="I9" i="26"/>
  <c r="J89" i="26"/>
  <c r="K89" i="26"/>
  <c r="J52" i="26"/>
  <c r="K52" i="26" s="1"/>
  <c r="K97" i="26"/>
  <c r="J45" i="26"/>
  <c r="K45" i="26"/>
  <c r="K38" i="26"/>
  <c r="K28" i="26"/>
  <c r="I131" i="18"/>
  <c r="I21" i="18"/>
  <c r="I19" i="18"/>
  <c r="I16" i="18"/>
  <c r="I52" i="26"/>
  <c r="I21" i="26"/>
  <c r="I38" i="26"/>
  <c r="I28" i="26"/>
  <c r="K51" i="26"/>
  <c r="K49" i="26"/>
  <c r="K44" i="26"/>
  <c r="K41" i="26"/>
  <c r="K36" i="26"/>
  <c r="K25" i="26"/>
  <c r="K24" i="26"/>
  <c r="K23" i="26"/>
  <c r="K22" i="26"/>
  <c r="K21" i="26"/>
  <c r="K19" i="26"/>
  <c r="K17" i="26"/>
  <c r="K13" i="26"/>
  <c r="K10" i="26"/>
  <c r="K9" i="26"/>
  <c r="I106" i="26"/>
  <c r="I51" i="26"/>
  <c r="I49" i="26"/>
  <c r="I45" i="26"/>
  <c r="I44" i="26"/>
  <c r="I41" i="26"/>
  <c r="I36" i="26"/>
  <c r="I25" i="26"/>
  <c r="I24" i="26"/>
  <c r="I23" i="26"/>
  <c r="I22" i="26"/>
  <c r="I19" i="26"/>
  <c r="I17" i="26"/>
  <c r="I13" i="26"/>
  <c r="U57" i="22"/>
  <c r="V57" i="22"/>
  <c r="V36" i="22"/>
  <c r="U36" i="22"/>
  <c r="V28" i="22" l="1"/>
  <c r="U28" i="22"/>
  <c r="H131" i="18"/>
  <c r="K100" i="26" l="1"/>
  <c r="K101" i="26"/>
  <c r="K102" i="26"/>
  <c r="K103" i="26"/>
  <c r="K104" i="26"/>
  <c r="K105" i="26"/>
  <c r="K107" i="26"/>
  <c r="K99" i="26"/>
  <c r="K93" i="26"/>
  <c r="K94" i="26"/>
  <c r="K95" i="26"/>
  <c r="K96" i="26"/>
  <c r="K92" i="26"/>
  <c r="K72" i="26"/>
  <c r="K73" i="26"/>
  <c r="K71" i="26"/>
  <c r="K50" i="26"/>
  <c r="K53" i="26"/>
  <c r="K54" i="26"/>
  <c r="K55" i="26"/>
  <c r="K56" i="26"/>
  <c r="K57" i="26"/>
  <c r="K58" i="26"/>
  <c r="K59" i="26"/>
  <c r="K42" i="26"/>
  <c r="K43" i="26"/>
  <c r="K46" i="26"/>
  <c r="K47" i="26"/>
  <c r="K18" i="26"/>
  <c r="K11" i="26"/>
  <c r="K12" i="26"/>
  <c r="H16" i="18" l="1"/>
  <c r="H21" i="18"/>
  <c r="H19" i="18"/>
  <c r="I12" i="26" l="1"/>
  <c r="I11" i="26"/>
  <c r="W8" i="22" l="1"/>
  <c r="W9" i="22"/>
  <c r="W7" i="22"/>
  <c r="J98" i="26" l="1"/>
  <c r="K98" i="26"/>
  <c r="I98" i="26"/>
  <c r="H98" i="26"/>
  <c r="J91" i="26"/>
  <c r="K91" i="26"/>
  <c r="I91" i="26"/>
  <c r="H91" i="26"/>
  <c r="K90" i="26" l="1"/>
  <c r="J108" i="26"/>
  <c r="J109" i="26" s="1"/>
  <c r="H108" i="26"/>
  <c r="K108" i="26"/>
  <c r="K109" i="26" s="1"/>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V40" i="22" s="1"/>
  <c r="W40" i="22" s="1"/>
  <c r="K64" i="26"/>
  <c r="J62" i="26"/>
  <c r="J67" i="26" s="1"/>
  <c r="J63" i="26"/>
  <c r="H63" i="26"/>
  <c r="K62" i="26"/>
  <c r="K66" i="26" s="1"/>
  <c r="H62" i="26"/>
  <c r="H68" i="26" s="1"/>
  <c r="V11" i="22" s="1"/>
  <c r="W11" i="22" s="1"/>
  <c r="H64" i="26"/>
  <c r="I51" i="21"/>
  <c r="I53" i="21" s="1"/>
  <c r="H51" i="21"/>
  <c r="H53" i="21" s="1"/>
  <c r="I67" i="26" l="1"/>
  <c r="I68" i="26"/>
  <c r="J66" i="26"/>
  <c r="J68" i="26"/>
  <c r="K67" i="26"/>
  <c r="K68" i="26"/>
  <c r="H66" i="26"/>
  <c r="H89" i="26" s="1"/>
  <c r="H109" i="26" s="1"/>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<sst xmlns="http://schemas.openxmlformats.org/spreadsheetml/2006/main" count="536" uniqueCount="470">
  <si>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</si>
  <si>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</si>
  <si>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</si>
  <si>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</si>
  <si>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</si>
  <si>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</si>
  <si>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</si>
  <si>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</si>
  <si>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</si>
  <si>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</si>
  <si>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</si>
  <si>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</si>
  <si>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</si>
  <si>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</si>
  <si>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</si>
  <si>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</si>
  <si>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</si>
  <si>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</si>
  <si>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</si>
  <si>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</si>
  <si>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</si>
  <si>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</si>
  <si>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</si>
  <si>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</si>
  <si>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</si>
  <si>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</si>
  <si>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</si>
  <si>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</si>
  <si>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</si>
  <si>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</si>
  <si>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</si>
  <si>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</si>
  <si>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</si>
  <si>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</si>
  <si>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</si>
  <si>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</si>
  <si>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</si>
  <si>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</si>
  <si>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</si>
  <si>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</si>
  <si>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</si>
  <si>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</si>
  <si>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</si>
  <si>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</si>
  <si>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</si>
  <si>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</si>
  <si>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</si>
  <si>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</si>
  <si>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</si>
  <si>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</si>
  <si>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</si>
  <si>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</si>
  <si>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</si>
  <si>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</si>
  <si>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</si>
  <si>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</si>
  <si>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</si>
  <si>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</si>
  <si>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</si>
  <si>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</si>
  <si>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</si>
  <si>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</si>
  <si>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</si>
  <si>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</si>
  <si>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</si>
  <si>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</si>
  <si>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</si>
  <si>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</si>
  <si>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</si>
  <si>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</si>
  <si>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</si>
  <si>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</si>
  <si>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</si>
  <si>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</si>
  <si>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</si>
  <si>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</si>
  <si>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</si>
  <si>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</si>
  <si>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</si>
  <si>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</si>
  <si>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</si>
  <si>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</si>
  <si>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</si>
  <si>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</si>
  <si>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</si>
  <si>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</si>
  <si>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</si>
  <si>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</si>
  <si>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</si>
  <si>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</si>
  <si>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</si>
  <si>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</si>
  <si>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</si>
  <si>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</si>
  <si>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</si>
  <si>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</si>
  <si>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</si>
  <si>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</si>
  <si>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</si>
  <si>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</si>
  <si>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</si>
  <si>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</si>
  <si>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</si>
  <si>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</si>
  <si>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</si>
  <si>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</si>
  <si>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</si>
  <si>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</si>
  <si>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</si>
  <si>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</si>
  <si>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</si>
  <si>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</si>
  <si>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</si>
  <si>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</si>
  <si>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</si>
  <si>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</si>
  <si>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</si>
  <si>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</si>
  <si>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</si>
  <si>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</si>
  <si>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</si>
  <si>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</si>
  <si>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</si>
  <si>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</si>
  <si>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</si>
  <si>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</si>
  <si>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</si>
  <si>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</si>
  <si>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</si>
  <si>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</si>
  <si>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</si>
  <si>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</si>
  <si>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</si>
  <si>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</si>
  <si>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</si>
  <si>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</si>
  <si>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</si>
  <si>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</si>
  <si>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</si>
  <si>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</si>
  <si>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</si>
  <si>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</si>
  <si>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</si>
  <si>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</si>
  <si>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</si>
  <si>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</si>
  <si>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</si>
  <si>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</si>
  <si>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</si>
  <si>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</si>
  <si>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</si>
  <si>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</si>
  <si>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</si>
  <si>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</si>
  <si>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</si>
  <si>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</si>
  <si>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</si>
  <si>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</si>
  <si>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</si>
  <si>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</si>
  <si>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</si>
  <si>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</si>
  <si>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</si>
  <si>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</si>
  <si>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</si>
  <si>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</si>
  <si>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</si>
  <si>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</si>
  <si>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</si>
  <si>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</si>
  <si>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</si>
  <si>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</si>
  <si>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</si>
  <si>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</si>
  <si>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</si>
  <si>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</si>
  <si>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</si>
  <si>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</si>
  <si>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</si>
  <si>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</si>
  <si>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</si>
  <si>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</si>
  <si>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</si>
  <si>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</si>
  <si>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</si>
  <si>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</si>
  <si>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</si>
  <si>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</si>
  <si>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</si>
  <si>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</si>
  <si>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</si>
  <si>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</si>
  <si>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</si>
  <si>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</si>
  <si>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</si>
  <si>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</si>
  <si>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</si>
  <si>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</si>
  <si>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</si>
  <si>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</si>
  <si>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</si>
  <si>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</si>
  <si>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</si>
  <si>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</si>
  <si>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</si>
  <si>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</si>
  <si>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</si>
  <si>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</si>
  <si>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</si>
  <si>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</si>
  <si>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</si>
  <si>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</si>
  <si>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</si>
  <si>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</si>
  <si>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</si>
  <si>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</si>
  <si>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</si>
  <si>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</si>
  <si>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</si>
  <si>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</si>
  <si>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</si>
  <si>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</si>
  <si>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</si>
  <si>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</si>
  <si>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</si>
  <si>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</si>
  <si>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</si>
  <si>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</si>
  <si>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</si>
  <si>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</si>
  <si>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</si>
  <si>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</si>
  <si>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</si>
  <si>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</si>
  <si>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</si>
  <si>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</si>
  <si>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</si>
  <si>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</si>
  <si>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</si>
  <si>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</si>
  <si>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</si>
  <si>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</si>
  <si>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</si>
  <si>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</si>
  <si>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</si>
  <si>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</si>
  <si>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</si>
  <si>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</si>
  <si>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</si>
  <si>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</si>
  <si>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</si>
  <si>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</si>
  <si>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</si>
  <si>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</si>
  <si>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</si>
  <si>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</si>
  <si>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</si>
  <si>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</si>
  <si>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</si>
  <si>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</si>
  <si>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</si>
  <si>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</si>
  <si>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</si>
  <si>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</si>
  <si>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</si>
  <si>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</si>
  <si>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</si>
  <si>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</si>
  <si>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</si>
  <si>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</si>
  <si>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</si>
  <si>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</si>
  <si>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</si>
  <si>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</si>
  <si>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</si>
  <si>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</si>
  <si>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</si>
  <si>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</si>
  <si>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</si>
  <si>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</si>
  <si>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</si>
  <si>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</si>
  <si>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</si>
  <si>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</si>
  <si>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</si>
  <si>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</si>
  <si>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</si>
  <si>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</si>
  <si>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</si>
  <si>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</si>
  <si>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</si>
  <si>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</si>
  <si>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</si>
  <si>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</si>
  <si>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</si>
  <si>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</si>
  <si>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</si>
  <si>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</si>
  <si>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</si>
  <si>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</si>
  <si>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</si>
  <si>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</si>
  <si>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</si>
  <si>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</si>
  <si>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</si>
  <si>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</si>
  <si>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</si>
  <si>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</si>
  <si>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</si>
  <si>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</si>
  <si>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</si>
  <si>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</si>
  <si>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</si>
  <si>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</si>
  <si>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</si>
  <si>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</si>
  <si>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</si>
  <si>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</si>
  <si>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</si>
  <si>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</si>
  <si>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</si>
  <si>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</si>
  <si>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</si>
  <si>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</si>
  <si>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</si>
  <si>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</si>
  <si>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</si>
  <si>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</si>
  <si>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</si>
  <si>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</si>
  <si>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</si>
  <si>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</si>
  <si>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</si>
  <si>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</si>
  <si>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</si>
  <si>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</si>
  <si>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</si>
  <si>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</si>
  <si>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</si>
  <si>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</si>
  <si>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</si>
  <si>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</si>
  <si>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</si>
  <si>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</si>
  <si>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</si>
  <si>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</si>
  <si>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</si>
  <si>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</si>
  <si>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</si>
  <si>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</si>
  <si>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</si>
  <si>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</si>
  <si>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</si>
  <si>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</si>
  <si>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</si>
  <si>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</si>
  <si>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</si>
  <si>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</si>
  <si>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</si>
  <si>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</si>
  <si>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</si>
  <si>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</si>
  <si>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</si>
  <si>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</si>
  <si>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</si>
  <si>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</si>
  <si>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</si>
  <si>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</si>
  <si>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</si>
  <si>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</si>
  <si>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</si>
  <si>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</si>
  <si>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</si>
  <si>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</si>
  <si>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</si>
  <si>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</si>
  <si>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</si>
  <si>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</si>
  <si>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</si>
  <si>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</si>
  <si>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</si>
  <si>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</si>
  <si>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</si>
  <si>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</si>
  <si>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</si>
  <si>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</si>
  <si>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</si>
  <si>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</si>
  <si>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</si>
  <si>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</si>
  <si>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</si>
  <si>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</si>
  <si>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</si>
  <si>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</si>
  <si>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</si>
  <si>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</si>
  <si>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</si>
  <si>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</si>
  <si>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</si>
  <si>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</si>
  <si>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</si>
  <si>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</si>
  <si>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</si>
  <si>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</si>
  <si>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</si>
  <si>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</si>
  <si>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</si>
  <si>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</si>
  <si>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</si>
  <si>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</si>
  <si>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</si>
  <si>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</si>
  <si>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</si>
  <si>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</si>
  <si>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</si>
  <si>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</si>
  <si>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</si>
  <si>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</si>
  <si>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</si>
  <si>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</si>
  <si>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</si>
  <si>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</si>
  <si>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</si>
  <si>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</si>
  <si>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</si>
  <si>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</si>
  <si>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</si>
  <si>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</si>
  <si>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</si>
  <si>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</si>
  <si>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</si>
  <si>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</si>
  <si>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</si>
  <si>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</si>
  <si>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</si>
  <si>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</si>
  <si>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</si>
  <si>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</si>
  <si>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</si>
  <si>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</si>
  <si>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</si>
  <si>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</si>
  <si>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</si>
  <si>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</si>
  <si>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</si>
  <si>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</si>
  <si>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</si>
  <si>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</si>
  <si>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</si>
  <si>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</si>
  <si>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080037012</t>
  </si>
  <si>
    <t>HR</t>
  </si>
  <si>
    <t>24640993045</t>
  </si>
  <si>
    <t>637</t>
  </si>
  <si>
    <t>CROATIA AIRLINES d.d.</t>
  </si>
  <si>
    <t>ZAGREB</t>
  </si>
  <si>
    <t>BANI 75 b</t>
  </si>
  <si>
    <t>uprava@croatiaairlines.hr</t>
  </si>
  <si>
    <t>www.croatiaairlines.hr</t>
  </si>
  <si>
    <t>DIJANA JANUŠIĆ</t>
  </si>
  <si>
    <t>01/6160049</t>
  </si>
  <si>
    <t>dijana.janusic@croatiaairlines.hr</t>
  </si>
  <si>
    <t>BDO CROATIA d.o.o.</t>
  </si>
  <si>
    <t>VEDRANA STIPIĆ</t>
  </si>
  <si>
    <t>Obveznik:  CROATIA AIRLINES d.d.</t>
  </si>
  <si>
    <t>Obveznik: CROATIA AIRLINES d.d.</t>
  </si>
  <si>
    <t>74780000B0QHXQ0LQw20</t>
  </si>
  <si>
    <t>u razdoblju 1.1.2025. do 30.6.2025.</t>
  </si>
  <si>
    <t>stanje na dan 30.6.2025.</t>
  </si>
  <si>
    <t>BILJEŠKE UZ FINANCIJSKE IZVJEŠTAJE - TFI
(koji se sastavljaju za tromjesečna razdoblja)
Naziv izdavatelja:  CROATIA AIRLINES d.d.
OIB:   24640993045
Izvještajno razdoblje: 1.1.2025.-30.6.2025.
Croatia Airlines u 2025. godini nastavlja s  obnovom cjelokupne flote novim i tehnološki naprednijim zrakoplovima Airbus A220 u tržišnom segmentu od 100 do 150 sjedala. Krajem lipnja 2025. godine u floti Croatia Airlinesa bilo je pet novih zrakoplova A220, a u nadolazećem razdoblju do kraja godine Croatia Airlines očekuje isporuku još dva nova zrakoplova Airbus A220. 
Ljetnim redom letenja Croatia Airlines dodatno je proširio mrežu međunarodnih odredišta uvođenjem novih međunarodnih linija iz Zagreba za Milano, Prag, Bukurešt, Madrid i Hamburg, a povećane su i frekvencije na postojećim linijama, kako iz Zagreba, tako i iz Splita i Dubrovnika. 
Poslovanje Croatia Airlinesa u prvom polugodištu 2025. godine obilježeno je nastavkom investicijskog ciklusa zamjene flote zrakoplova, uz izražene operativne i financijske izazove karakteristične za tranzicijsko razdoblje. Na kraju promatranog razdoblja ostvaren je operativni gubitak u visini od 21,2 milijuna EUR koji s neto rezultatom financiranja daje neto gubitak od 18 milijuna EUR. 
Glavni uzrok negativnog rezultata je rast operativnih troškova povezanih s procesom tranzicije flote, pri čemu je važno naglasiti kako su financijske implikacije tranzicijskog razdoblja zamjene flote znatno veće od ranijih predviđanja.
Ukupni prihodi koji uključuju i financijske prihode veći su za 8 posto u odnosu na prvo polugodište 2024. godine, dok su ukupni poslovni prihodi manji za 4 posto u odnosu na isto razdoblje prethodne godine. Na smanjenje prihoda utjecala je agresivna cjenovna aktivnost konkurencije u uvjetima pada cijene goriva, a dijelom i tečaja USD za dio prihoda koji se ostvaruju u američkoj valuti.
Promatrajući financijske rezultate po kvartalima, neto gubitak u prvom kvartalu 2025. iznosio je 15,9 milijuna EUR, dok je u drugom kvartalu 2025. zabilježeno značajno poboljšanje, s neto gubitkom od 2,1 milijun EUR. S aspekta operativne učinkovitosti, u prvom kvartalu 2025. ostvaren je negativan EBITDA rezultat od 5,7 milijuna EUR, dok je u drugom kvartalu zabilježen pozitivan EBITDA od 8,2 milijuna EUR što upućuje na značajan oporavak u odnosu na prvi kvartal, ali i rast EBITDA od 22 posto u usporedbi s drugim kvartalom 2024. godine.
Projekt zamjene flote, najveći u povijesti Croatia Airlinesa od njegova osnutka, predstavlja temelj za dugoročni održivi razvoj kompanije. Nova flota donosi brojne prednosti, uključujući pojednostavljenje operativnih procesa, povećanje financijske učinkovitosti te osiguranje ekološke održivosti, uz smanjenje potrošnje goriva i emisija CO2, što je posebno značajno u kontekstu globalnih trendova dekarbonizacije industrije zračnog prijevoza.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</si>
</sst>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C25CA6A7-0310-41C2-A5F0-73DCCD60DCB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45838</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466</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10010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457</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458</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1008</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343</v>
      </c>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459</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460</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461</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t="s">
        <v>462</v>
      </c>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t="s">
        <v>463</v>
      </c>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07" zoomScaleNormal="100" zoomScaleSheetLayoutView="110" workbookViewId="0">
      <selection activeCell="H70" sqref="H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468</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464</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193156527</v>
      </c>
      <c r="I9" s="82">
        <f>I10+I17+I27+I38+I43</f>
        <v>278829174</v>
      </c>
    </row>
    <row r="10" spans="1:9" ht="12.75" customHeight="1" x14ac:dyDescent="0.2">
      <c r="A10" s="194" t="s">
        <v>5</v>
      </c>
      <c r="B10" s="194"/>
      <c r="C10" s="194"/>
      <c r="D10" s="194"/>
      <c r="E10" s="194"/>
      <c r="F10" s="194"/>
      <c r="G10" s="12">
        <v>3</v>
      </c>
      <c r="H10" s="82">
        <f>H11+H12+H13+H14+H15+H16</f>
        <v>6388309</v>
      </c>
      <c r="I10" s="82">
        <f>I11+I12+I13+I14+I15+I16</f>
        <v>8085944</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453683</v>
      </c>
      <c r="I12" s="18">
        <v>360536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747990</v>
      </c>
      <c r="I15" s="18">
        <v>981371</v>
      </c>
    </row>
    <row r="16" spans="1:9" ht="12.75" customHeight="1" x14ac:dyDescent="0.2">
      <c r="A16" s="190" t="s">
        <v>11</v>
      </c>
      <c r="B16" s="190"/>
      <c r="C16" s="190"/>
      <c r="D16" s="190"/>
      <c r="E16" s="190"/>
      <c r="F16" s="190"/>
      <c r="G16" s="11">
        <v>9</v>
      </c>
      <c r="H16" s="18">
        <f>291872+4894764</f>
        <v>5186636</v>
      </c>
      <c r="I16" s="18">
        <f>244627+6499410</f>
        <v>6744037</v>
      </c>
    </row>
    <row r="17" spans="1:9" ht="12.75" customHeight="1" x14ac:dyDescent="0.2">
      <c r="A17" s="194" t="s">
        <v>12</v>
      </c>
      <c r="B17" s="194"/>
      <c r="C17" s="194"/>
      <c r="D17" s="194"/>
      <c r="E17" s="194"/>
      <c r="F17" s="194"/>
      <c r="G17" s="12">
        <v>10</v>
      </c>
      <c r="H17" s="82">
        <f>H18+H19+H20+H21+H22+H23+H24+H25+H26</f>
        <v>120457311</v>
      </c>
      <c r="I17" s="82">
        <f>I18+I19+I20+I21+I22+I23+I24+I25+I26</f>
        <v>205264966</v>
      </c>
    </row>
    <row r="18" spans="1:9" ht="12.75" customHeight="1" x14ac:dyDescent="0.2">
      <c r="A18" s="190" t="s">
        <v>13</v>
      </c>
      <c r="B18" s="190"/>
      <c r="C18" s="190"/>
      <c r="D18" s="190"/>
      <c r="E18" s="190"/>
      <c r="F18" s="190"/>
      <c r="G18" s="11">
        <v>11</v>
      </c>
      <c r="H18" s="18">
        <v>2621659</v>
      </c>
      <c r="I18" s="18">
        <v>2621659</v>
      </c>
    </row>
    <row r="19" spans="1:9" ht="12.75" customHeight="1" x14ac:dyDescent="0.2">
      <c r="A19" s="190" t="s">
        <v>14</v>
      </c>
      <c r="B19" s="190"/>
      <c r="C19" s="190"/>
      <c r="D19" s="190"/>
      <c r="E19" s="190"/>
      <c r="F19" s="190"/>
      <c r="G19" s="11">
        <v>12</v>
      </c>
      <c r="H19" s="18">
        <f>1779497+2276661</f>
        <v>4056158</v>
      </c>
      <c r="I19" s="18">
        <f>1699440+2132628</f>
        <v>3832068</v>
      </c>
    </row>
    <row r="20" spans="1:9" ht="12.75" customHeight="1" x14ac:dyDescent="0.2">
      <c r="A20" s="190" t="s">
        <v>15</v>
      </c>
      <c r="B20" s="190"/>
      <c r="C20" s="190"/>
      <c r="D20" s="190"/>
      <c r="E20" s="190"/>
      <c r="F20" s="190"/>
      <c r="G20" s="11">
        <v>13</v>
      </c>
      <c r="H20" s="18">
        <v>30611574</v>
      </c>
      <c r="I20" s="18">
        <v>43990058</v>
      </c>
    </row>
    <row r="21" spans="1:9" ht="12.75" customHeight="1" x14ac:dyDescent="0.2">
      <c r="A21" s="190" t="s">
        <v>16</v>
      </c>
      <c r="B21" s="190"/>
      <c r="C21" s="190"/>
      <c r="D21" s="190"/>
      <c r="E21" s="190"/>
      <c r="F21" s="190"/>
      <c r="G21" s="11">
        <v>14</v>
      </c>
      <c r="H21" s="18">
        <f>85348+81677892+79696</f>
        <v>81842936</v>
      </c>
      <c r="I21" s="18">
        <f>1040851+153369351+79867</f>
        <v>154490069</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994610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330374</v>
      </c>
      <c r="I25" s="18">
        <v>331112</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13603398</v>
      </c>
      <c r="I27" s="82">
        <f>SUM(I28:I37)</f>
        <v>13239241</v>
      </c>
    </row>
    <row r="28" spans="1:9" ht="12.75" customHeight="1" x14ac:dyDescent="0.2">
      <c r="A28" s="190" t="s">
        <v>23</v>
      </c>
      <c r="B28" s="190"/>
      <c r="C28" s="190"/>
      <c r="D28" s="190"/>
      <c r="E28" s="190"/>
      <c r="F28" s="190"/>
      <c r="G28" s="11">
        <v>21</v>
      </c>
      <c r="H28" s="18">
        <v>346460</v>
      </c>
      <c r="I28" s="18">
        <v>346460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25000</v>
      </c>
      <c r="I34" s="18">
        <v>25000</v>
      </c>
    </row>
    <row r="35" spans="1:9" ht="12.75" customHeight="1" x14ac:dyDescent="0.2">
      <c r="A35" s="190" t="s">
        <v>30</v>
      </c>
      <c r="B35" s="190"/>
      <c r="C35" s="190"/>
      <c r="D35" s="190"/>
      <c r="E35" s="190"/>
      <c r="F35" s="190"/>
      <c r="G35" s="11">
        <v>28</v>
      </c>
      <c r="H35" s="18">
        <v>13231938</v>
      </c>
      <c r="I35" s="18">
        <v>12867781</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52707509</v>
      </c>
      <c r="I38" s="82">
        <f>I39+I40+I41+I42</f>
        <v>52239023</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52707509</v>
      </c>
      <c r="I42" s="18">
        <v>52239023</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76938969</v>
      </c>
      <c r="I44" s="82">
        <f>I45+I53+I60+I70</f>
        <v>76055935</v>
      </c>
    </row>
    <row r="45" spans="1:9" ht="12.75" customHeight="1" x14ac:dyDescent="0.2">
      <c r="A45" s="194" t="s">
        <v>39</v>
      </c>
      <c r="B45" s="194"/>
      <c r="C45" s="194"/>
      <c r="D45" s="194"/>
      <c r="E45" s="194"/>
      <c r="F45" s="194"/>
      <c r="G45" s="12">
        <v>38</v>
      </c>
      <c r="H45" s="82">
        <f>SUM(H46:H52)</f>
        <v>11618566</v>
      </c>
      <c r="I45" s="82">
        <f>SUM(I46:I52)</f>
        <v>11940654</v>
      </c>
    </row>
    <row r="46" spans="1:9" ht="12.75" customHeight="1" x14ac:dyDescent="0.2">
      <c r="A46" s="190" t="s">
        <v>40</v>
      </c>
      <c r="B46" s="190"/>
      <c r="C46" s="190"/>
      <c r="D46" s="190"/>
      <c r="E46" s="190"/>
      <c r="F46" s="190"/>
      <c r="G46" s="11">
        <v>39</v>
      </c>
      <c r="H46" s="18">
        <v>11618566</v>
      </c>
      <c r="I46" s="18">
        <v>11940654</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19218191</v>
      </c>
      <c r="I53" s="82">
        <f>SUM(I54:I59)</f>
        <v>31196784</v>
      </c>
    </row>
    <row r="54" spans="1:9" ht="12.75" customHeight="1" x14ac:dyDescent="0.2">
      <c r="A54" s="190" t="s">
        <v>48</v>
      </c>
      <c r="B54" s="190"/>
      <c r="C54" s="190"/>
      <c r="D54" s="190"/>
      <c r="E54" s="190"/>
      <c r="F54" s="190"/>
      <c r="G54" s="11">
        <v>47</v>
      </c>
      <c r="H54" s="18">
        <v>3842</v>
      </c>
      <c r="I54" s="18">
        <v>63842</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13423764</v>
      </c>
      <c r="I56" s="18">
        <v>26169761</v>
      </c>
    </row>
    <row r="57" spans="1:9" ht="12.75" customHeight="1" x14ac:dyDescent="0.2">
      <c r="A57" s="190" t="s">
        <v>51</v>
      </c>
      <c r="B57" s="190"/>
      <c r="C57" s="190"/>
      <c r="D57" s="190"/>
      <c r="E57" s="190"/>
      <c r="F57" s="190"/>
      <c r="G57" s="11">
        <v>50</v>
      </c>
      <c r="H57" s="18">
        <v>25360</v>
      </c>
      <c r="I57" s="18">
        <v>36129</v>
      </c>
    </row>
    <row r="58" spans="1:9" ht="12.75" customHeight="1" x14ac:dyDescent="0.2">
      <c r="A58" s="190" t="s">
        <v>52</v>
      </c>
      <c r="B58" s="190"/>
      <c r="C58" s="190"/>
      <c r="D58" s="190"/>
      <c r="E58" s="190"/>
      <c r="F58" s="190"/>
      <c r="G58" s="11">
        <v>51</v>
      </c>
      <c r="H58" s="18">
        <v>4050682</v>
      </c>
      <c r="I58" s="18">
        <v>1859893</v>
      </c>
    </row>
    <row r="59" spans="1:9" ht="12.75" customHeight="1" x14ac:dyDescent="0.2">
      <c r="A59" s="190" t="s">
        <v>53</v>
      </c>
      <c r="B59" s="190"/>
      <c r="C59" s="190"/>
      <c r="D59" s="190"/>
      <c r="E59" s="190"/>
      <c r="F59" s="190"/>
      <c r="G59" s="11">
        <v>52</v>
      </c>
      <c r="H59" s="18">
        <v>1714543</v>
      </c>
      <c r="I59" s="18">
        <v>3067159</v>
      </c>
    </row>
    <row r="60" spans="1:9" ht="12.75" customHeight="1" x14ac:dyDescent="0.2">
      <c r="A60" s="194" t="s">
        <v>54</v>
      </c>
      <c r="B60" s="194"/>
      <c r="C60" s="194"/>
      <c r="D60" s="194"/>
      <c r="E60" s="194"/>
      <c r="F60" s="194"/>
      <c r="G60" s="12">
        <v>53</v>
      </c>
      <c r="H60" s="82">
        <f>SUM(H61:H69)</f>
        <v>1275703</v>
      </c>
      <c r="I60" s="82">
        <f>SUM(I61:I69)</f>
        <v>3324270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175000</v>
      </c>
      <c r="I63" s="18">
        <v>25000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25</v>
      </c>
      <c r="I67" s="18">
        <v>25</v>
      </c>
    </row>
    <row r="68" spans="1:9" ht="12.75" customHeight="1" x14ac:dyDescent="0.2">
      <c r="A68" s="190" t="s">
        <v>30</v>
      </c>
      <c r="B68" s="190"/>
      <c r="C68" s="190"/>
      <c r="D68" s="190"/>
      <c r="E68" s="190"/>
      <c r="F68" s="190"/>
      <c r="G68" s="11">
        <v>61</v>
      </c>
      <c r="H68" s="18">
        <v>1100678</v>
      </c>
      <c r="I68" s="18">
        <v>3299245</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44826509</v>
      </c>
      <c r="I70" s="18">
        <v>29594227</v>
      </c>
    </row>
    <row r="71" spans="1:9" ht="12.75" customHeight="1" x14ac:dyDescent="0.2">
      <c r="A71" s="191" t="s">
        <v>58</v>
      </c>
      <c r="B71" s="191"/>
      <c r="C71" s="191"/>
      <c r="D71" s="191"/>
      <c r="E71" s="191"/>
      <c r="F71" s="191"/>
      <c r="G71" s="11">
        <v>64</v>
      </c>
      <c r="H71" s="18">
        <v>2763319</v>
      </c>
      <c r="I71" s="18">
        <v>5412277</v>
      </c>
    </row>
    <row r="72" spans="1:9" ht="12.75" customHeight="1" x14ac:dyDescent="0.2">
      <c r="A72" s="192" t="s">
        <v>304</v>
      </c>
      <c r="B72" s="192"/>
      <c r="C72" s="192"/>
      <c r="D72" s="192"/>
      <c r="E72" s="192"/>
      <c r="F72" s="192"/>
      <c r="G72" s="12">
        <v>65</v>
      </c>
      <c r="H72" s="82">
        <f>H8+H9+H44+H71</f>
        <v>272858815</v>
      </c>
      <c r="I72" s="82">
        <f>I8+I9+I44+I71</f>
        <v>360297386</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1449249</v>
      </c>
      <c r="I75" s="83">
        <f>I76+I77+I78+I84+I85+I91+I94+I97</f>
        <v>-15900113</v>
      </c>
    </row>
    <row r="76" spans="1:9" ht="12.75" customHeight="1" x14ac:dyDescent="0.2">
      <c r="A76" s="190" t="s">
        <v>61</v>
      </c>
      <c r="B76" s="190"/>
      <c r="C76" s="190"/>
      <c r="D76" s="190"/>
      <c r="E76" s="190"/>
      <c r="F76" s="190"/>
      <c r="G76" s="11">
        <v>68</v>
      </c>
      <c r="H76" s="18">
        <v>92387953</v>
      </c>
      <c r="I76" s="18">
        <v>92387953</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7016033</v>
      </c>
      <c r="I84" s="43">
        <v>7654287</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-78383908</v>
      </c>
      <c r="I91" s="82">
        <f>I92-I93</f>
        <v>-97954737</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78383908</v>
      </c>
      <c r="I93" s="18">
        <v>97954737</v>
      </c>
    </row>
    <row r="94" spans="1:9" ht="12.75" customHeight="1" x14ac:dyDescent="0.2">
      <c r="A94" s="194" t="s">
        <v>353</v>
      </c>
      <c r="B94" s="194"/>
      <c r="C94" s="194"/>
      <c r="D94" s="194"/>
      <c r="E94" s="194"/>
      <c r="F94" s="194"/>
      <c r="G94" s="12">
        <v>86</v>
      </c>
      <c r="H94" s="82">
        <f>H95-H96</f>
        <v>-19570829</v>
      </c>
      <c r="I94" s="82">
        <f>I95-I96</f>
        <v>-17987616</v>
      </c>
    </row>
    <row r="95" spans="1:9" ht="12.75" customHeight="1" x14ac:dyDescent="0.2">
      <c r="A95" s="190" t="s">
        <v>74</v>
      </c>
      <c r="B95" s="190"/>
      <c r="C95" s="190"/>
      <c r="D95" s="190"/>
      <c r="E95" s="190"/>
      <c r="F95" s="190"/>
      <c r="G95" s="11">
        <v>87</v>
      </c>
      <c r="H95" s="18">
        <v>0</v>
      </c>
      <c r="I95" s="18">
        <v>0</v>
      </c>
    </row>
    <row r="96" spans="1:9" ht="12.75" customHeight="1" x14ac:dyDescent="0.2">
      <c r="A96" s="190" t="s">
        <v>75</v>
      </c>
      <c r="B96" s="190"/>
      <c r="C96" s="190"/>
      <c r="D96" s="190"/>
      <c r="E96" s="190"/>
      <c r="F96" s="190"/>
      <c r="G96" s="11">
        <v>88</v>
      </c>
      <c r="H96" s="18">
        <v>19570829</v>
      </c>
      <c r="I96" s="18">
        <v>17987616</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51010773</v>
      </c>
      <c r="I98" s="82">
        <f>SUM(I99:I104)</f>
        <v>49430008</v>
      </c>
    </row>
    <row r="99" spans="1:9" ht="12.75" customHeight="1" x14ac:dyDescent="0.2">
      <c r="A99" s="190" t="s">
        <v>77</v>
      </c>
      <c r="B99" s="190"/>
      <c r="C99" s="190"/>
      <c r="D99" s="190"/>
      <c r="E99" s="190"/>
      <c r="F99" s="190"/>
      <c r="G99" s="11">
        <v>91</v>
      </c>
      <c r="H99" s="18">
        <v>328887</v>
      </c>
      <c r="I99" s="18">
        <v>328887</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1079637</v>
      </c>
      <c r="I101" s="18">
        <v>1079637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49602249</v>
      </c>
      <c r="I104" s="18">
        <v>48021484</v>
      </c>
    </row>
    <row r="105" spans="1:9" ht="12.75" customHeight="1" x14ac:dyDescent="0.2">
      <c r="A105" s="192" t="s">
        <v>356</v>
      </c>
      <c r="B105" s="192"/>
      <c r="C105" s="192"/>
      <c r="D105" s="192"/>
      <c r="E105" s="192"/>
      <c r="F105" s="192"/>
      <c r="G105" s="12">
        <v>97</v>
      </c>
      <c r="H105" s="82">
        <f>SUM(H106:H116)</f>
        <v>150282420</v>
      </c>
      <c r="I105" s="82">
        <f>SUM(I106:I116)</f>
        <v>216665929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82592328</v>
      </c>
      <c r="I107" s="18">
        <v>85037320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7253</v>
      </c>
      <c r="I110" s="18">
        <v>7253</v>
      </c>
    </row>
    <row r="111" spans="1:9" ht="12.75" customHeight="1" x14ac:dyDescent="0.2">
      <c r="A111" s="190" t="s">
        <v>88</v>
      </c>
      <c r="B111" s="190"/>
      <c r="C111" s="190"/>
      <c r="D111" s="190"/>
      <c r="E111" s="190"/>
      <c r="F111" s="190"/>
      <c r="G111" s="11">
        <v>103</v>
      </c>
      <c r="H111" s="18">
        <v>64692722</v>
      </c>
      <c r="I111" s="18">
        <v>128738602</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1540492</v>
      </c>
      <c r="I115" s="18">
        <v>1294122</v>
      </c>
    </row>
    <row r="116" spans="1:9" ht="12.75" customHeight="1" x14ac:dyDescent="0.2">
      <c r="A116" s="190" t="s">
        <v>93</v>
      </c>
      <c r="B116" s="190"/>
      <c r="C116" s="190"/>
      <c r="D116" s="190"/>
      <c r="E116" s="190"/>
      <c r="F116" s="190"/>
      <c r="G116" s="11">
        <v>108</v>
      </c>
      <c r="H116" s="18">
        <v>1449625</v>
      </c>
      <c r="I116" s="18">
        <v>1588632</v>
      </c>
    </row>
    <row r="117" spans="1:9" ht="12.75" customHeight="1" x14ac:dyDescent="0.2">
      <c r="A117" s="192" t="s">
        <v>357</v>
      </c>
      <c r="B117" s="192"/>
      <c r="C117" s="192"/>
      <c r="D117" s="192"/>
      <c r="E117" s="192"/>
      <c r="F117" s="192"/>
      <c r="G117" s="12">
        <v>109</v>
      </c>
      <c r="H117" s="82">
        <f>SUM(H118:H131)</f>
        <v>59080180</v>
      </c>
      <c r="I117" s="82">
        <f>SUM(I118:I131)</f>
        <v>100470908</v>
      </c>
    </row>
    <row r="118" spans="1:9" ht="12.75" customHeight="1" x14ac:dyDescent="0.2">
      <c r="A118" s="190" t="s">
        <v>83</v>
      </c>
      <c r="B118" s="190"/>
      <c r="C118" s="190"/>
      <c r="D118" s="190"/>
      <c r="E118" s="190"/>
      <c r="F118" s="190"/>
      <c r="G118" s="11">
        <v>110</v>
      </c>
      <c r="H118" s="18">
        <v>0</v>
      </c>
      <c r="I118" s="18">
        <v>165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1991738</v>
      </c>
      <c r="I122" s="18">
        <v>2395354</v>
      </c>
    </row>
    <row r="123" spans="1:9" ht="12.75" customHeight="1" x14ac:dyDescent="0.2">
      <c r="A123" s="190" t="s">
        <v>88</v>
      </c>
      <c r="B123" s="190"/>
      <c r="C123" s="190"/>
      <c r="D123" s="190"/>
      <c r="E123" s="190"/>
      <c r="F123" s="190"/>
      <c r="G123" s="11">
        <v>115</v>
      </c>
      <c r="H123" s="18">
        <v>17990376</v>
      </c>
      <c r="I123" s="18">
        <v>16576090</v>
      </c>
    </row>
    <row r="124" spans="1:9" ht="12.75" customHeight="1" x14ac:dyDescent="0.2">
      <c r="A124" s="190" t="s">
        <v>89</v>
      </c>
      <c r="B124" s="190"/>
      <c r="C124" s="190"/>
      <c r="D124" s="190"/>
      <c r="E124" s="190"/>
      <c r="F124" s="190"/>
      <c r="G124" s="11">
        <v>116</v>
      </c>
      <c r="H124" s="18">
        <v>320965</v>
      </c>
      <c r="I124" s="18">
        <v>540980</v>
      </c>
    </row>
    <row r="125" spans="1:9" ht="12.75" customHeight="1" x14ac:dyDescent="0.2">
      <c r="A125" s="190" t="s">
        <v>90</v>
      </c>
      <c r="B125" s="190"/>
      <c r="C125" s="190"/>
      <c r="D125" s="190"/>
      <c r="E125" s="190"/>
      <c r="F125" s="190"/>
      <c r="G125" s="11">
        <v>117</v>
      </c>
      <c r="H125" s="18">
        <v>15024289</v>
      </c>
      <c r="I125" s="18">
        <v>27573014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2260475</v>
      </c>
      <c r="I127" s="18">
        <v>2598600</v>
      </c>
    </row>
    <row r="128" spans="1:9" x14ac:dyDescent="0.2">
      <c r="A128" s="190" t="s">
        <v>95</v>
      </c>
      <c r="B128" s="190"/>
      <c r="C128" s="190"/>
      <c r="D128" s="190"/>
      <c r="E128" s="190"/>
      <c r="F128" s="190"/>
      <c r="G128" s="11">
        <v>120</v>
      </c>
      <c r="H128" s="18">
        <v>1959169</v>
      </c>
      <c r="I128" s="18">
        <v>2377463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f>18763887+769281</f>
        <v>19533168</v>
      </c>
      <c r="I131" s="18">
        <f>47529585+879657</f>
        <v>48409242</v>
      </c>
    </row>
    <row r="132" spans="1:9" ht="22.15" customHeight="1" x14ac:dyDescent="0.2">
      <c r="A132" s="191" t="s">
        <v>99</v>
      </c>
      <c r="B132" s="191"/>
      <c r="C132" s="191"/>
      <c r="D132" s="191"/>
      <c r="E132" s="191"/>
      <c r="F132" s="191"/>
      <c r="G132" s="11">
        <v>124</v>
      </c>
      <c r="H132" s="18">
        <v>11036193</v>
      </c>
      <c r="I132" s="18">
        <v>9630654</v>
      </c>
    </row>
    <row r="133" spans="1:9" ht="12.75" customHeight="1" x14ac:dyDescent="0.2">
      <c r="A133" s="192" t="s">
        <v>358</v>
      </c>
      <c r="B133" s="192"/>
      <c r="C133" s="192"/>
      <c r="D133" s="192"/>
      <c r="E133" s="192"/>
      <c r="F133" s="192"/>
      <c r="G133" s="12">
        <v>125</v>
      </c>
      <c r="H133" s="82">
        <f>H75+H98+H105+H117+H132</f>
        <v>272858815</v>
      </c>
      <c r="I133" s="82">
        <f>I75+I98+I105+I117+I132</f>
        <v>360297386</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zoomScale="85" zoomScaleNormal="85" zoomScaleSheetLayoutView="110" workbookViewId="0">
      <selection activeCell="T22" sqref="T2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467</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464</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116268522</v>
      </c>
      <c r="I8" s="48">
        <f>SUM(I9:I13)</f>
        <v>72057351</v>
      </c>
      <c r="J8" s="48">
        <f>SUM(J9:J13)</f>
        <v>111541340</v>
      </c>
      <c r="K8" s="48">
        <f>SUM(K9:K13)</f>
        <v>68641161</v>
      </c>
    </row>
    <row r="9" spans="1:11" ht="12.75" customHeight="1" x14ac:dyDescent="0.2">
      <c r="A9" s="190" t="s">
        <v>115</v>
      </c>
      <c r="B9" s="190"/>
      <c r="C9" s="190"/>
      <c r="D9" s="190"/>
      <c r="E9" s="190"/>
      <c r="F9" s="190"/>
      <c r="G9" s="11">
        <v>2</v>
      </c>
      <c r="H9" s="49">
        <v>8466</v>
      </c>
      <c r="I9" s="49">
        <f>+H9-5722+1</f>
        <v>2745</v>
      </c>
      <c r="J9" s="49">
        <v>11442</v>
      </c>
      <c r="K9" s="49">
        <f>+J9-5721</f>
        <v>5721</v>
      </c>
    </row>
    <row r="10" spans="1:11" ht="12.75" customHeight="1" x14ac:dyDescent="0.2">
      <c r="A10" s="190" t="s">
        <v>116</v>
      </c>
      <c r="B10" s="190"/>
      <c r="C10" s="190"/>
      <c r="D10" s="190"/>
      <c r="E10" s="190"/>
      <c r="F10" s="190"/>
      <c r="G10" s="11">
        <v>3</v>
      </c>
      <c r="H10" s="49">
        <v>105057889</v>
      </c>
      <c r="I10" s="49">
        <f>+H10-40623714-1</f>
        <v>64434174</v>
      </c>
      <c r="J10" s="49">
        <v>99439347</v>
      </c>
      <c r="K10" s="49">
        <f>+J10-37367727</f>
        <v>62071620</v>
      </c>
    </row>
    <row r="11" spans="1:11" ht="12.75" customHeight="1" x14ac:dyDescent="0.2">
      <c r="A11" s="190" t="s">
        <v>117</v>
      </c>
      <c r="B11" s="190"/>
      <c r="C11" s="190"/>
      <c r="D11" s="190"/>
      <c r="E11" s="190"/>
      <c r="F11" s="190"/>
      <c r="G11" s="11">
        <v>4</v>
      </c>
      <c r="H11" s="49">
        <v>0</v>
      </c>
      <c r="I11" s="49">
        <f t="shared" ref="I11:I12" si="0">+H11</f>
        <v>0</v>
      </c>
      <c r="J11" s="49">
        <v>0</v>
      </c>
      <c r="K11" s="49">
        <f t="shared" ref="K11:K12" si="1">+J11</f>
        <v>0</v>
      </c>
    </row>
    <row r="12" spans="1:11" ht="12.75" customHeight="1" x14ac:dyDescent="0.2">
      <c r="A12" s="190" t="s">
        <v>118</v>
      </c>
      <c r="B12" s="190"/>
      <c r="C12" s="190"/>
      <c r="D12" s="190"/>
      <c r="E12" s="190"/>
      <c r="F12" s="190"/>
      <c r="G12" s="11">
        <v>5</v>
      </c>
      <c r="H12" s="49">
        <v>0</v>
      </c>
      <c r="I12" s="49">
        <f t="shared" si="0"/>
        <v>0</v>
      </c>
      <c r="J12" s="49">
        <v>0</v>
      </c>
      <c r="K12" s="49">
        <f t="shared" si="1"/>
        <v>0</v>
      </c>
    </row>
    <row r="13" spans="1:11" ht="12.75" customHeight="1" x14ac:dyDescent="0.2">
      <c r="A13" s="190" t="s">
        <v>119</v>
      </c>
      <c r="B13" s="190"/>
      <c r="C13" s="190"/>
      <c r="D13" s="190"/>
      <c r="E13" s="190"/>
      <c r="F13" s="190"/>
      <c r="G13" s="11">
        <v>6</v>
      </c>
      <c r="H13" s="49">
        <v>11202167</v>
      </c>
      <c r="I13" s="49">
        <f>+H13-3581735</f>
        <v>7620432</v>
      </c>
      <c r="J13" s="49">
        <v>12090551</v>
      </c>
      <c r="K13" s="49">
        <f>+J13-5526731</f>
        <v>6563820</v>
      </c>
    </row>
    <row r="14" spans="1:11" ht="12.75" customHeight="1" x14ac:dyDescent="0.2">
      <c r="A14" s="221" t="s">
        <v>360</v>
      </c>
      <c r="B14" s="221"/>
      <c r="C14" s="221"/>
      <c r="D14" s="221"/>
      <c r="E14" s="221"/>
      <c r="F14" s="221"/>
      <c r="G14" s="12">
        <v>7</v>
      </c>
      <c r="H14" s="48">
        <f>H15+H16+H20+H24+H25+H26+H29+H36</f>
        <v>125730014</v>
      </c>
      <c r="I14" s="48">
        <f>I15+I16+I20+I24+I25+I26+I29+I36</f>
        <v>71358331</v>
      </c>
      <c r="J14" s="48">
        <f>J15+J16+J20+J24+J25+J26+J29+J36</f>
        <v>132778429</v>
      </c>
      <c r="K14" s="48">
        <f>K15+K16+K20+K24+K25+K26+K29+K36</f>
        <v>74509769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88870967</v>
      </c>
      <c r="I16" s="48">
        <f>SUM(I17:I19)</f>
        <v>51417589</v>
      </c>
      <c r="J16" s="48">
        <f>SUM(J17:J19)</f>
        <v>84694810</v>
      </c>
      <c r="K16" s="48">
        <f>SUM(K17:K19)</f>
        <v>48953819</v>
      </c>
    </row>
    <row r="17" spans="1:11" ht="12.75" customHeight="1" x14ac:dyDescent="0.2">
      <c r="A17" s="224" t="s">
        <v>120</v>
      </c>
      <c r="B17" s="224"/>
      <c r="C17" s="224"/>
      <c r="D17" s="224"/>
      <c r="E17" s="224"/>
      <c r="F17" s="224"/>
      <c r="G17" s="11">
        <v>10</v>
      </c>
      <c r="H17" s="49">
        <v>26105227</v>
      </c>
      <c r="I17" s="49">
        <f>+H17-10752910</f>
        <v>15352317</v>
      </c>
      <c r="J17" s="49">
        <v>23882094</v>
      </c>
      <c r="K17" s="49">
        <f>+J17-9932410</f>
        <v>13949684</v>
      </c>
    </row>
    <row r="18" spans="1:11" ht="12.75" customHeight="1" x14ac:dyDescent="0.2">
      <c r="A18" s="224" t="s">
        <v>121</v>
      </c>
      <c r="B18" s="224"/>
      <c r="C18" s="224"/>
      <c r="D18" s="224"/>
      <c r="E18" s="224"/>
      <c r="F18" s="224"/>
      <c r="G18" s="11">
        <v>11</v>
      </c>
      <c r="H18" s="49">
        <v>0</v>
      </c>
      <c r="I18" s="49">
        <v>0</v>
      </c>
      <c r="J18" s="49">
        <v>0</v>
      </c>
      <c r="K18" s="49">
        <f t="shared" ref="K18" si="2">+J18</f>
        <v>0</v>
      </c>
    </row>
    <row r="19" spans="1:11" ht="12.75" customHeight="1" x14ac:dyDescent="0.2">
      <c r="A19" s="224" t="s">
        <v>122</v>
      </c>
      <c r="B19" s="224"/>
      <c r="C19" s="224"/>
      <c r="D19" s="224"/>
      <c r="E19" s="224"/>
      <c r="F19" s="224"/>
      <c r="G19" s="11">
        <v>12</v>
      </c>
      <c r="H19" s="49">
        <v>62765740</v>
      </c>
      <c r="I19" s="49">
        <f>+H19-26700468</f>
        <v>36065272</v>
      </c>
      <c r="J19" s="49">
        <v>60812716</v>
      </c>
      <c r="K19" s="49">
        <f>+J19-25808581</f>
        <v>35004135</v>
      </c>
    </row>
    <row r="20" spans="1:11" ht="12.75" customHeight="1" x14ac:dyDescent="0.2">
      <c r="A20" s="194" t="s">
        <v>441</v>
      </c>
      <c r="B20" s="194"/>
      <c r="C20" s="194"/>
      <c r="D20" s="194"/>
      <c r="E20" s="194"/>
      <c r="F20" s="194"/>
      <c r="G20" s="12">
        <v>13</v>
      </c>
      <c r="H20" s="48">
        <f>SUM(H21:H23)</f>
        <v>20054661</v>
      </c>
      <c r="I20" s="48">
        <f>SUM(I21:I23)</f>
        <v>10823877</v>
      </c>
      <c r="J20" s="48">
        <f>SUM(J21:J23)</f>
        <v>24447391</v>
      </c>
      <c r="K20" s="48">
        <f>SUM(K21:K23)</f>
        <v>12813648</v>
      </c>
    </row>
    <row r="21" spans="1:11" ht="12.75" customHeight="1" x14ac:dyDescent="0.2">
      <c r="A21" s="224" t="s">
        <v>105</v>
      </c>
      <c r="B21" s="224"/>
      <c r="C21" s="224"/>
      <c r="D21" s="224"/>
      <c r="E21" s="224"/>
      <c r="F21" s="224"/>
      <c r="G21" s="11">
        <v>14</v>
      </c>
      <c r="H21" s="49">
        <v>11231215</v>
      </c>
      <c r="I21" s="49">
        <f>+H21-5177785</f>
        <v>6053430</v>
      </c>
      <c r="J21" s="49">
        <v>13610090</v>
      </c>
      <c r="K21" s="49">
        <f>+J21-6492377</f>
        <v>7117713</v>
      </c>
    </row>
    <row r="22" spans="1:11" ht="12.75" customHeight="1" x14ac:dyDescent="0.2">
      <c r="A22" s="224" t="s">
        <v>106</v>
      </c>
      <c r="B22" s="224"/>
      <c r="C22" s="224"/>
      <c r="D22" s="224"/>
      <c r="E22" s="224"/>
      <c r="F22" s="224"/>
      <c r="G22" s="11">
        <v>15</v>
      </c>
      <c r="H22" s="49">
        <v>5190615</v>
      </c>
      <c r="I22" s="49">
        <f>+H22-2365991</f>
        <v>2824624</v>
      </c>
      <c r="J22" s="49">
        <v>6382197</v>
      </c>
      <c r="K22" s="49">
        <f>+J22-3024056</f>
        <v>3358141</v>
      </c>
    </row>
    <row r="23" spans="1:11" ht="12.75" customHeight="1" x14ac:dyDescent="0.2">
      <c r="A23" s="224" t="s">
        <v>107</v>
      </c>
      <c r="B23" s="224"/>
      <c r="C23" s="224"/>
      <c r="D23" s="224"/>
      <c r="E23" s="224"/>
      <c r="F23" s="224"/>
      <c r="G23" s="11">
        <v>16</v>
      </c>
      <c r="H23" s="49">
        <v>3632831</v>
      </c>
      <c r="I23" s="49">
        <f>+H23-1687008</f>
        <v>1945823</v>
      </c>
      <c r="J23" s="49">
        <v>4455104</v>
      </c>
      <c r="K23" s="49">
        <f>+J23-2117310</f>
        <v>2337794</v>
      </c>
    </row>
    <row r="24" spans="1:11" ht="12.75" customHeight="1" x14ac:dyDescent="0.2">
      <c r="A24" s="190" t="s">
        <v>108</v>
      </c>
      <c r="B24" s="190"/>
      <c r="C24" s="190"/>
      <c r="D24" s="190"/>
      <c r="E24" s="190"/>
      <c r="F24" s="190"/>
      <c r="G24" s="11">
        <v>17</v>
      </c>
      <c r="H24" s="49">
        <v>9978864</v>
      </c>
      <c r="I24" s="49">
        <f>+H24-4685810</f>
        <v>5293054</v>
      </c>
      <c r="J24" s="49">
        <v>15918443</v>
      </c>
      <c r="K24" s="49">
        <f>+J24-7814227</f>
        <v>8104216</v>
      </c>
    </row>
    <row r="25" spans="1:11" ht="12.75" customHeight="1" x14ac:dyDescent="0.2">
      <c r="A25" s="190" t="s">
        <v>109</v>
      </c>
      <c r="B25" s="190"/>
      <c r="C25" s="190"/>
      <c r="D25" s="190"/>
      <c r="E25" s="190"/>
      <c r="F25" s="190"/>
      <c r="G25" s="11">
        <v>18</v>
      </c>
      <c r="H25" s="49">
        <v>6544700</v>
      </c>
      <c r="I25" s="49">
        <f>+H25-2835214</f>
        <v>3709486</v>
      </c>
      <c r="J25" s="49">
        <v>7009505</v>
      </c>
      <c r="K25" s="49">
        <f>+J25-2595293</f>
        <v>4414212</v>
      </c>
    </row>
    <row r="26" spans="1:11" ht="12.75" customHeight="1" x14ac:dyDescent="0.2">
      <c r="A26" s="194" t="s">
        <v>442</v>
      </c>
      <c r="B26" s="194"/>
      <c r="C26" s="194"/>
      <c r="D26" s="194"/>
      <c r="E26" s="194"/>
      <c r="F26" s="194"/>
      <c r="G26" s="12">
        <v>19</v>
      </c>
      <c r="H26" s="48">
        <f>H27+H28</f>
        <v>1375</v>
      </c>
      <c r="I26" s="48">
        <f>I27+I28</f>
        <v>1375</v>
      </c>
      <c r="J26" s="48">
        <f>J27+J28</f>
        <v>3281</v>
      </c>
      <c r="K26" s="48">
        <f>K27+K28</f>
        <v>3281</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1375</v>
      </c>
      <c r="I28" s="49">
        <f>+H28-0</f>
        <v>1375</v>
      </c>
      <c r="J28" s="49">
        <v>3281</v>
      </c>
      <c r="K28" s="49">
        <f>+J28-0</f>
        <v>3281</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279447</v>
      </c>
      <c r="I36" s="49">
        <f>+H36-166497</f>
        <v>112950</v>
      </c>
      <c r="J36" s="49">
        <v>704999</v>
      </c>
      <c r="K36" s="49">
        <f>+J36-484406</f>
        <v>220593</v>
      </c>
    </row>
    <row r="37" spans="1:11" ht="12.75" customHeight="1" x14ac:dyDescent="0.2">
      <c r="A37" s="221" t="s">
        <v>361</v>
      </c>
      <c r="B37" s="221"/>
      <c r="C37" s="221"/>
      <c r="D37" s="221"/>
      <c r="E37" s="221"/>
      <c r="F37" s="221"/>
      <c r="G37" s="12">
        <v>30</v>
      </c>
      <c r="H37" s="48">
        <f>SUM(H38:H47)</f>
        <v>6352941</v>
      </c>
      <c r="I37" s="48">
        <f>SUM(I38:I47)</f>
        <v>2220033</v>
      </c>
      <c r="J37" s="48">
        <f>SUM(J38:J47)</f>
        <v>20777216</v>
      </c>
      <c r="K37" s="48">
        <f>SUM(K38:K47)</f>
        <v>15793863</v>
      </c>
    </row>
    <row r="38" spans="1:11" ht="12.75" customHeight="1" x14ac:dyDescent="0.2">
      <c r="A38" s="190" t="s">
        <v>131</v>
      </c>
      <c r="B38" s="190"/>
      <c r="C38" s="190"/>
      <c r="D38" s="190"/>
      <c r="E38" s="190"/>
      <c r="F38" s="190"/>
      <c r="G38" s="11">
        <v>31</v>
      </c>
      <c r="H38" s="49">
        <v>137590</v>
      </c>
      <c r="I38" s="49">
        <f>+H38-0</f>
        <v>137590</v>
      </c>
      <c r="J38" s="49">
        <v>100000</v>
      </c>
      <c r="K38" s="49">
        <f>+J38-0</f>
        <v>100000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3039</v>
      </c>
      <c r="I41" s="49">
        <f>+H41-1823</f>
        <v>1216</v>
      </c>
      <c r="J41" s="49">
        <v>2439</v>
      </c>
      <c r="K41" s="49">
        <f>+J41-1620</f>
        <v>819</v>
      </c>
    </row>
    <row r="42" spans="1:11" ht="25.15" customHeight="1" x14ac:dyDescent="0.2">
      <c r="A42" s="190" t="s">
        <v>135</v>
      </c>
      <c r="B42" s="190"/>
      <c r="C42" s="190"/>
      <c r="D42" s="190"/>
      <c r="E42" s="190"/>
      <c r="F42" s="190"/>
      <c r="G42" s="11">
        <v>35</v>
      </c>
      <c r="H42" s="49">
        <v>0</v>
      </c>
      <c r="I42" s="49">
        <v>0</v>
      </c>
      <c r="J42" s="49">
        <v>0</v>
      </c>
      <c r="K42" s="49">
        <f t="shared" ref="K42:K47" si="3">+J42</f>
        <v>0</v>
      </c>
    </row>
    <row r="43" spans="1:11" ht="12.75" customHeight="1" x14ac:dyDescent="0.2">
      <c r="A43" s="190" t="s">
        <v>136</v>
      </c>
      <c r="B43" s="190"/>
      <c r="C43" s="190"/>
      <c r="D43" s="190"/>
      <c r="E43" s="190"/>
      <c r="F43" s="190"/>
      <c r="G43" s="11">
        <v>36</v>
      </c>
      <c r="H43" s="49">
        <v>0</v>
      </c>
      <c r="I43" s="49">
        <v>0</v>
      </c>
      <c r="J43" s="49">
        <v>0</v>
      </c>
      <c r="K43" s="49">
        <f t="shared" si="3"/>
        <v>0</v>
      </c>
    </row>
    <row r="44" spans="1:11" ht="12.75" customHeight="1" x14ac:dyDescent="0.2">
      <c r="A44" s="190" t="s">
        <v>137</v>
      </c>
      <c r="B44" s="190"/>
      <c r="C44" s="190"/>
      <c r="D44" s="190"/>
      <c r="E44" s="190"/>
      <c r="F44" s="190"/>
      <c r="G44" s="11">
        <v>37</v>
      </c>
      <c r="H44" s="49">
        <v>1300143</v>
      </c>
      <c r="I44" s="49">
        <f>+H44-648914</f>
        <v>651229</v>
      </c>
      <c r="J44" s="49">
        <v>408544</v>
      </c>
      <c r="K44" s="49">
        <f>+J44-239751</f>
        <v>168793</v>
      </c>
    </row>
    <row r="45" spans="1:11" ht="12.75" customHeight="1" x14ac:dyDescent="0.2">
      <c r="A45" s="190" t="s">
        <v>138</v>
      </c>
      <c r="B45" s="190"/>
      <c r="C45" s="190"/>
      <c r="D45" s="190"/>
      <c r="E45" s="190"/>
      <c r="F45" s="190"/>
      <c r="G45" s="11">
        <v>38</v>
      </c>
      <c r="H45" s="49">
        <v>4912169</v>
      </c>
      <c r="I45" s="49">
        <f>+H45-3482171</f>
        <v>1429998</v>
      </c>
      <c r="J45" s="49">
        <f>8414159+291738+9680797+1879539</f>
        <v>20266233</v>
      </c>
      <c r="K45" s="49">
        <f>+J45-4741982</f>
        <v>15524251</v>
      </c>
    </row>
    <row r="46" spans="1:11" ht="12.75" customHeight="1" x14ac:dyDescent="0.2">
      <c r="A46" s="190" t="s">
        <v>139</v>
      </c>
      <c r="B46" s="190"/>
      <c r="C46" s="190"/>
      <c r="D46" s="190"/>
      <c r="E46" s="190"/>
      <c r="F46" s="190"/>
      <c r="G46" s="11">
        <v>39</v>
      </c>
      <c r="H46" s="49">
        <v>0</v>
      </c>
      <c r="I46" s="49">
        <v>0</v>
      </c>
      <c r="J46" s="49">
        <v>0</v>
      </c>
      <c r="K46" s="49">
        <f t="shared" si="3"/>
        <v>0</v>
      </c>
    </row>
    <row r="47" spans="1:11" ht="12.75" customHeight="1" x14ac:dyDescent="0.2">
      <c r="A47" s="190" t="s">
        <v>140</v>
      </c>
      <c r="B47" s="190"/>
      <c r="C47" s="190"/>
      <c r="D47" s="190"/>
      <c r="E47" s="190"/>
      <c r="F47" s="190"/>
      <c r="G47" s="11">
        <v>40</v>
      </c>
      <c r="H47" s="49">
        <v>0</v>
      </c>
      <c r="I47" s="49">
        <v>0</v>
      </c>
      <c r="J47" s="49">
        <v>0</v>
      </c>
      <c r="K47" s="49">
        <f t="shared" si="3"/>
        <v>0</v>
      </c>
    </row>
    <row r="48" spans="1:11" ht="12.75" customHeight="1" x14ac:dyDescent="0.2">
      <c r="A48" s="221" t="s">
        <v>362</v>
      </c>
      <c r="B48" s="221"/>
      <c r="C48" s="221"/>
      <c r="D48" s="221"/>
      <c r="E48" s="221"/>
      <c r="F48" s="221"/>
      <c r="G48" s="12">
        <v>41</v>
      </c>
      <c r="H48" s="48">
        <f>SUM(H49:H55)</f>
        <v>6395312</v>
      </c>
      <c r="I48" s="48">
        <f>SUM(I49:I55)</f>
        <v>2498625</v>
      </c>
      <c r="J48" s="48">
        <f>SUM(J49:J55)</f>
        <v>17527743</v>
      </c>
      <c r="K48" s="48">
        <f>SUM(K49:K55)</f>
        <v>12024280</v>
      </c>
    </row>
    <row r="49" spans="1:11" ht="25.15" customHeight="1" x14ac:dyDescent="0.2">
      <c r="A49" s="190" t="s">
        <v>141</v>
      </c>
      <c r="B49" s="190"/>
      <c r="C49" s="190"/>
      <c r="D49" s="190"/>
      <c r="E49" s="190"/>
      <c r="F49" s="190"/>
      <c r="G49" s="11">
        <v>42</v>
      </c>
      <c r="H49" s="49">
        <v>771975</v>
      </c>
      <c r="I49" s="49">
        <f>+H49-385987</f>
        <v>385988</v>
      </c>
      <c r="J49" s="49">
        <v>776491</v>
      </c>
      <c r="K49" s="49">
        <f>+J49-674345</f>
        <v>102146</v>
      </c>
    </row>
    <row r="50" spans="1:11" ht="12.75" customHeight="1" x14ac:dyDescent="0.2">
      <c r="A50" s="214" t="s">
        <v>142</v>
      </c>
      <c r="B50" s="214"/>
      <c r="C50" s="214"/>
      <c r="D50" s="214"/>
      <c r="E50" s="214"/>
      <c r="F50" s="214"/>
      <c r="G50" s="11">
        <v>43</v>
      </c>
      <c r="H50" s="49">
        <v>0</v>
      </c>
      <c r="I50" s="49">
        <v>0</v>
      </c>
      <c r="J50" s="49">
        <v>0</v>
      </c>
      <c r="K50" s="49">
        <f t="shared" ref="K50:K59" si="4">+J50</f>
        <v>0</v>
      </c>
    </row>
    <row r="51" spans="1:11" ht="12.75" customHeight="1" x14ac:dyDescent="0.2">
      <c r="A51" s="214" t="s">
        <v>143</v>
      </c>
      <c r="B51" s="214"/>
      <c r="C51" s="214"/>
      <c r="D51" s="214"/>
      <c r="E51" s="214"/>
      <c r="F51" s="214"/>
      <c r="G51" s="11">
        <v>44</v>
      </c>
      <c r="H51" s="49">
        <v>1270163</v>
      </c>
      <c r="I51" s="49">
        <f>+H51-642704</f>
        <v>627459</v>
      </c>
      <c r="J51" s="49">
        <v>3795082</v>
      </c>
      <c r="K51" s="49">
        <f>+J51-1707935</f>
        <v>2087147</v>
      </c>
    </row>
    <row r="52" spans="1:11" ht="12.75" customHeight="1" x14ac:dyDescent="0.2">
      <c r="A52" s="214" t="s">
        <v>144</v>
      </c>
      <c r="B52" s="214"/>
      <c r="C52" s="214"/>
      <c r="D52" s="214"/>
      <c r="E52" s="214"/>
      <c r="F52" s="214"/>
      <c r="G52" s="11">
        <v>45</v>
      </c>
      <c r="H52" s="49">
        <v>4353174</v>
      </c>
      <c r="I52" s="49">
        <f>+H52-2867996</f>
        <v>1485178</v>
      </c>
      <c r="J52" s="49">
        <f>12956169+1</f>
        <v>12956170</v>
      </c>
      <c r="K52" s="49">
        <f>+J52-3121183</f>
        <v>9834987</v>
      </c>
    </row>
    <row r="53" spans="1:11" ht="12.75" customHeight="1" x14ac:dyDescent="0.2">
      <c r="A53" s="214" t="s">
        <v>145</v>
      </c>
      <c r="B53" s="214"/>
      <c r="C53" s="214"/>
      <c r="D53" s="214"/>
      <c r="E53" s="214"/>
      <c r="F53" s="214"/>
      <c r="G53" s="11">
        <v>46</v>
      </c>
      <c r="H53" s="49">
        <v>0</v>
      </c>
      <c r="I53" s="49">
        <v>0</v>
      </c>
      <c r="J53" s="49">
        <v>0</v>
      </c>
      <c r="K53" s="49">
        <f t="shared" si="4"/>
        <v>0</v>
      </c>
    </row>
    <row r="54" spans="1:11" ht="12.75" customHeight="1" x14ac:dyDescent="0.2">
      <c r="A54" s="214" t="s">
        <v>146</v>
      </c>
      <c r="B54" s="214"/>
      <c r="C54" s="214"/>
      <c r="D54" s="214"/>
      <c r="E54" s="214"/>
      <c r="F54" s="214"/>
      <c r="G54" s="11">
        <v>47</v>
      </c>
      <c r="H54" s="49">
        <v>0</v>
      </c>
      <c r="I54" s="49">
        <v>0</v>
      </c>
      <c r="J54" s="49">
        <v>0</v>
      </c>
      <c r="K54" s="49">
        <f t="shared" si="4"/>
        <v>0</v>
      </c>
    </row>
    <row r="55" spans="1:11" ht="12.75" customHeight="1" x14ac:dyDescent="0.2">
      <c r="A55" s="214" t="s">
        <v>147</v>
      </c>
      <c r="B55" s="214"/>
      <c r="C55" s="214"/>
      <c r="D55" s="214"/>
      <c r="E55" s="214"/>
      <c r="F55" s="214"/>
      <c r="G55" s="11">
        <v>48</v>
      </c>
      <c r="H55" s="49">
        <v>0</v>
      </c>
      <c r="I55" s="49">
        <v>0</v>
      </c>
      <c r="J55" s="49">
        <v>0</v>
      </c>
      <c r="K55" s="49">
        <f t="shared" si="4"/>
        <v>0</v>
      </c>
    </row>
    <row r="56" spans="1:11" ht="22.15" customHeight="1" x14ac:dyDescent="0.2">
      <c r="A56" s="223" t="s">
        <v>148</v>
      </c>
      <c r="B56" s="223"/>
      <c r="C56" s="223"/>
      <c r="D56" s="223"/>
      <c r="E56" s="223"/>
      <c r="F56" s="223"/>
      <c r="G56" s="11">
        <v>49</v>
      </c>
      <c r="H56" s="49">
        <v>0</v>
      </c>
      <c r="I56" s="49">
        <v>0</v>
      </c>
      <c r="J56" s="49">
        <v>0</v>
      </c>
      <c r="K56" s="49">
        <f t="shared" si="4"/>
        <v>0</v>
      </c>
    </row>
    <row r="57" spans="1:11" ht="12.75" customHeight="1" x14ac:dyDescent="0.2">
      <c r="A57" s="223" t="s">
        <v>149</v>
      </c>
      <c r="B57" s="223"/>
      <c r="C57" s="223"/>
      <c r="D57" s="223"/>
      <c r="E57" s="223"/>
      <c r="F57" s="223"/>
      <c r="G57" s="11">
        <v>50</v>
      </c>
      <c r="H57" s="49">
        <v>0</v>
      </c>
      <c r="I57" s="49">
        <v>0</v>
      </c>
      <c r="J57" s="49">
        <v>0</v>
      </c>
      <c r="K57" s="49">
        <f t="shared" si="4"/>
        <v>0</v>
      </c>
    </row>
    <row r="58" spans="1:11" ht="24.6" customHeight="1" x14ac:dyDescent="0.2">
      <c r="A58" s="223" t="s">
        <v>150</v>
      </c>
      <c r="B58" s="223"/>
      <c r="C58" s="223"/>
      <c r="D58" s="223"/>
      <c r="E58" s="223"/>
      <c r="F58" s="223"/>
      <c r="G58" s="11">
        <v>51</v>
      </c>
      <c r="H58" s="49">
        <v>0</v>
      </c>
      <c r="I58" s="49">
        <v>0</v>
      </c>
      <c r="J58" s="49">
        <v>0</v>
      </c>
      <c r="K58" s="49">
        <f t="shared" si="4"/>
        <v>0</v>
      </c>
    </row>
    <row r="59" spans="1:11" ht="12.75" customHeight="1" x14ac:dyDescent="0.2">
      <c r="A59" s="223" t="s">
        <v>151</v>
      </c>
      <c r="B59" s="223"/>
      <c r="C59" s="223"/>
      <c r="D59" s="223"/>
      <c r="E59" s="223"/>
      <c r="F59" s="223"/>
      <c r="G59" s="11">
        <v>52</v>
      </c>
      <c r="H59" s="49">
        <v>0</v>
      </c>
      <c r="I59" s="49">
        <v>0</v>
      </c>
      <c r="J59" s="49">
        <v>0</v>
      </c>
      <c r="K59" s="49">
        <f t="shared" si="4"/>
        <v>0</v>
      </c>
    </row>
    <row r="60" spans="1:11" ht="12.75" customHeight="1" x14ac:dyDescent="0.2">
      <c r="A60" s="221" t="s">
        <v>363</v>
      </c>
      <c r="B60" s="221"/>
      <c r="C60" s="221"/>
      <c r="D60" s="221"/>
      <c r="E60" s="221"/>
      <c r="F60" s="221"/>
      <c r="G60" s="12">
        <v>53</v>
      </c>
      <c r="H60" s="48">
        <f>H8+H37+H56+H57</f>
        <v>122621463</v>
      </c>
      <c r="I60" s="48">
        <f t="shared" ref="I60:K60" si="5">I8+I37+I56+I57</f>
        <v>74277384</v>
      </c>
      <c r="J60" s="48">
        <f t="shared" si="5"/>
        <v>132318556</v>
      </c>
      <c r="K60" s="48">
        <f t="shared" si="5"/>
        <v>84435024</v>
      </c>
    </row>
    <row r="61" spans="1:11" ht="12.75" customHeight="1" x14ac:dyDescent="0.2">
      <c r="A61" s="221" t="s">
        <v>364</v>
      </c>
      <c r="B61" s="221"/>
      <c r="C61" s="221"/>
      <c r="D61" s="221"/>
      <c r="E61" s="221"/>
      <c r="F61" s="221"/>
      <c r="G61" s="12">
        <v>54</v>
      </c>
      <c r="H61" s="48">
        <f>H14+H48+H58+H59</f>
        <v>132125326</v>
      </c>
      <c r="I61" s="48">
        <f t="shared" ref="I61:K61" si="6">I14+I48+I58+I59</f>
        <v>73856956</v>
      </c>
      <c r="J61" s="48">
        <f t="shared" si="6"/>
        <v>150306172</v>
      </c>
      <c r="K61" s="48">
        <f t="shared" si="6"/>
        <v>86534049</v>
      </c>
    </row>
    <row r="62" spans="1:11" ht="12.75" customHeight="1" x14ac:dyDescent="0.2">
      <c r="A62" s="221" t="s">
        <v>365</v>
      </c>
      <c r="B62" s="221"/>
      <c r="C62" s="221"/>
      <c r="D62" s="221"/>
      <c r="E62" s="221"/>
      <c r="F62" s="221"/>
      <c r="G62" s="12">
        <v>55</v>
      </c>
      <c r="H62" s="48">
        <f>H60-H61</f>
        <v>-9503863</v>
      </c>
      <c r="I62" s="48">
        <f t="shared" ref="I62:K62" si="7">I60-I61</f>
        <v>420428</v>
      </c>
      <c r="J62" s="48">
        <f t="shared" si="7"/>
        <v>-17987616</v>
      </c>
      <c r="K62" s="48">
        <f t="shared" si="7"/>
        <v>-2099025</v>
      </c>
    </row>
    <row r="63" spans="1:11" ht="12.75" customHeight="1" x14ac:dyDescent="0.2">
      <c r="A63" s="222" t="s">
        <v>366</v>
      </c>
      <c r="B63" s="222"/>
      <c r="C63" s="222"/>
      <c r="D63" s="222"/>
      <c r="E63" s="222"/>
      <c r="F63" s="222"/>
      <c r="G63" s="12">
        <v>56</v>
      </c>
      <c r="H63" s="48">
        <f>+IF((H60-H61)&gt;0,(H60-H61),0)</f>
        <v>0</v>
      </c>
      <c r="I63" s="48">
        <f t="shared" ref="I63:K63" si="8">+IF((I60-I61)&gt;0,(I60-I61),0)</f>
        <v>420428</v>
      </c>
      <c r="J63" s="48">
        <f t="shared" si="8"/>
        <v>0</v>
      </c>
      <c r="K63" s="48">
        <f t="shared" si="8"/>
        <v>0</v>
      </c>
    </row>
    <row r="64" spans="1:11" ht="12.75" customHeight="1" x14ac:dyDescent="0.2">
      <c r="A64" s="222" t="s">
        <v>367</v>
      </c>
      <c r="B64" s="222"/>
      <c r="C64" s="222"/>
      <c r="D64" s="222"/>
      <c r="E64" s="222"/>
      <c r="F64" s="222"/>
      <c r="G64" s="12">
        <v>57</v>
      </c>
      <c r="H64" s="48">
        <f>+IF((H60-H61)&lt;0,(H60-H61),0)</f>
        <v>-9503863</v>
      </c>
      <c r="I64" s="48">
        <f t="shared" ref="I64:K64" si="9">+IF((I60-I61)&lt;0,(I60-I61),0)</f>
        <v>0</v>
      </c>
      <c r="J64" s="48">
        <f t="shared" si="9"/>
        <v>-17987616</v>
      </c>
      <c r="K64" s="48">
        <f t="shared" si="9"/>
        <v>-2099025</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-9503863</v>
      </c>
      <c r="I66" s="48">
        <f t="shared" ref="I66:K66" si="10">I62-I65</f>
        <v>420428</v>
      </c>
      <c r="J66" s="48">
        <f t="shared" si="10"/>
        <v>-17987616</v>
      </c>
      <c r="K66" s="48">
        <f t="shared" si="10"/>
        <v>-2099025</v>
      </c>
    </row>
    <row r="67" spans="1:11" ht="12.75" customHeight="1" x14ac:dyDescent="0.2">
      <c r="A67" s="222" t="s">
        <v>369</v>
      </c>
      <c r="B67" s="222"/>
      <c r="C67" s="222"/>
      <c r="D67" s="222"/>
      <c r="E67" s="222"/>
      <c r="F67" s="222"/>
      <c r="G67" s="12">
        <v>60</v>
      </c>
      <c r="H67" s="48">
        <f>+IF((H62-H65)&gt;0,(H62-H65),0)</f>
        <v>0</v>
      </c>
      <c r="I67" s="48">
        <f t="shared" ref="I67:K67" si="11">+IF((I62-I65)&gt;0,(I62-I65),0)</f>
        <v>420428</v>
      </c>
      <c r="J67" s="48">
        <f t="shared" si="11"/>
        <v>0</v>
      </c>
      <c r="K67" s="48">
        <f t="shared" si="11"/>
        <v>0</v>
      </c>
    </row>
    <row r="68" spans="1:11" ht="12.75" customHeight="1" x14ac:dyDescent="0.2">
      <c r="A68" s="222" t="s">
        <v>370</v>
      </c>
      <c r="B68" s="222"/>
      <c r="C68" s="222"/>
      <c r="D68" s="222"/>
      <c r="E68" s="222"/>
      <c r="F68" s="222"/>
      <c r="G68" s="12">
        <v>61</v>
      </c>
      <c r="H68" s="48">
        <f>+IF((H62-H65)&lt;0,(H62-H65),0)</f>
        <v>-9503863</v>
      </c>
      <c r="I68" s="48">
        <f t="shared" ref="I68:K68" si="12">+IF((I62-I65)&lt;0,(I62-I65),0)</f>
        <v>0</v>
      </c>
      <c r="J68" s="48">
        <f t="shared" si="12"/>
        <v>-17987616</v>
      </c>
      <c r="K68" s="48">
        <f t="shared" si="12"/>
        <v>-2099025</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f>+J71</f>
        <v>0</v>
      </c>
    </row>
    <row r="72" spans="1:11" ht="12.75" customHeight="1" x14ac:dyDescent="0.2">
      <c r="A72" s="214" t="s">
        <v>154</v>
      </c>
      <c r="B72" s="214"/>
      <c r="C72" s="214"/>
      <c r="D72" s="214"/>
      <c r="E72" s="214"/>
      <c r="F72" s="214"/>
      <c r="G72" s="11">
        <v>64</v>
      </c>
      <c r="H72" s="49">
        <v>0</v>
      </c>
      <c r="I72" s="49">
        <v>0</v>
      </c>
      <c r="J72" s="49">
        <v>0</v>
      </c>
      <c r="K72" s="49">
        <f t="shared" ref="K72:K73" si="13">+J72</f>
        <v>0</v>
      </c>
    </row>
    <row r="73" spans="1:11" ht="12.75" customHeight="1" x14ac:dyDescent="0.2">
      <c r="A73" s="223" t="s">
        <v>155</v>
      </c>
      <c r="B73" s="223"/>
      <c r="C73" s="223"/>
      <c r="D73" s="223"/>
      <c r="E73" s="223"/>
      <c r="F73" s="223"/>
      <c r="G73" s="11">
        <v>65</v>
      </c>
      <c r="H73" s="49">
        <v>0</v>
      </c>
      <c r="I73" s="49">
        <v>0</v>
      </c>
      <c r="J73" s="49">
        <v>0</v>
      </c>
      <c r="K73" s="49">
        <f t="shared" si="13"/>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f t="shared" ref="H89:K89" si="14">H66</f>
        <v>-9503863</v>
      </c>
      <c r="I89" s="52">
        <f t="shared" si="14"/>
        <v>420428</v>
      </c>
      <c r="J89" s="52">
        <f t="shared" si="14"/>
        <v>-17987616</v>
      </c>
      <c r="K89" s="52">
        <f t="shared" si="14"/>
        <v>-2099025</v>
      </c>
    </row>
    <row r="90" spans="1:11" ht="24" customHeight="1" x14ac:dyDescent="0.2">
      <c r="A90" s="192" t="s">
        <v>437</v>
      </c>
      <c r="B90" s="192"/>
      <c r="C90" s="192"/>
      <c r="D90" s="192"/>
      <c r="E90" s="192"/>
      <c r="F90" s="192"/>
      <c r="G90" s="12">
        <v>79</v>
      </c>
      <c r="H90" s="69">
        <f>H91+H98</f>
        <v>-63476</v>
      </c>
      <c r="I90" s="69">
        <f>I91+I98</f>
        <v>0</v>
      </c>
      <c r="J90" s="69">
        <f t="shared" ref="J90:K90" si="15">J91+J98</f>
        <v>777261</v>
      </c>
      <c r="K90" s="69">
        <f t="shared" si="15"/>
        <v>777261</v>
      </c>
    </row>
    <row r="91" spans="1:11" ht="24" customHeight="1" x14ac:dyDescent="0.2">
      <c r="A91" s="212" t="s">
        <v>444</v>
      </c>
      <c r="B91" s="212"/>
      <c r="C91" s="212"/>
      <c r="D91" s="212"/>
      <c r="E91" s="212"/>
      <c r="F91" s="212"/>
      <c r="G91" s="12">
        <v>80</v>
      </c>
      <c r="H91" s="69">
        <f>SUM(H92:H96)</f>
        <v>0</v>
      </c>
      <c r="I91" s="69">
        <f>SUM(I92:I96)</f>
        <v>0</v>
      </c>
      <c r="J91" s="69">
        <f t="shared" ref="J91:K91" si="16">SUM(J92:J96)</f>
        <v>777261</v>
      </c>
      <c r="K91" s="69">
        <f t="shared" si="16"/>
        <v>777261</v>
      </c>
    </row>
    <row r="92" spans="1:11" ht="25.5" customHeight="1" x14ac:dyDescent="0.2">
      <c r="A92" s="214" t="s">
        <v>382</v>
      </c>
      <c r="B92" s="214"/>
      <c r="C92" s="214"/>
      <c r="D92" s="214"/>
      <c r="E92" s="214"/>
      <c r="F92" s="214"/>
      <c r="G92" s="12">
        <v>81</v>
      </c>
      <c r="H92" s="52">
        <v>0</v>
      </c>
      <c r="I92" s="52">
        <v>0</v>
      </c>
      <c r="J92" s="52">
        <v>777261</v>
      </c>
      <c r="K92" s="52">
        <f>+J92</f>
        <v>777261</v>
      </c>
    </row>
    <row r="93" spans="1:11" ht="38.25" customHeight="1" x14ac:dyDescent="0.2">
      <c r="A93" s="214" t="s">
        <v>383</v>
      </c>
      <c r="B93" s="214"/>
      <c r="C93" s="214"/>
      <c r="D93" s="214"/>
      <c r="E93" s="214"/>
      <c r="F93" s="214"/>
      <c r="G93" s="12">
        <v>82</v>
      </c>
      <c r="H93" s="52">
        <v>0</v>
      </c>
      <c r="I93" s="52">
        <v>0</v>
      </c>
      <c r="J93" s="52">
        <v>0</v>
      </c>
      <c r="K93" s="52">
        <f t="shared" ref="K93:K96" si="17">+J93</f>
        <v>0</v>
      </c>
    </row>
    <row r="94" spans="1:11" ht="38.25" customHeight="1" x14ac:dyDescent="0.2">
      <c r="A94" s="214" t="s">
        <v>384</v>
      </c>
      <c r="B94" s="214"/>
      <c r="C94" s="214"/>
      <c r="D94" s="214"/>
      <c r="E94" s="214"/>
      <c r="F94" s="214"/>
      <c r="G94" s="12">
        <v>83</v>
      </c>
      <c r="H94" s="52">
        <v>0</v>
      </c>
      <c r="I94" s="52">
        <v>0</v>
      </c>
      <c r="J94" s="52">
        <v>0</v>
      </c>
      <c r="K94" s="52">
        <f t="shared" si="17"/>
        <v>0</v>
      </c>
    </row>
    <row r="95" spans="1:11" x14ac:dyDescent="0.2">
      <c r="A95" s="214" t="s">
        <v>385</v>
      </c>
      <c r="B95" s="214"/>
      <c r="C95" s="214"/>
      <c r="D95" s="214"/>
      <c r="E95" s="214"/>
      <c r="F95" s="214"/>
      <c r="G95" s="12">
        <v>84</v>
      </c>
      <c r="H95" s="52">
        <v>0</v>
      </c>
      <c r="I95" s="52">
        <v>0</v>
      </c>
      <c r="J95" s="52">
        <v>0</v>
      </c>
      <c r="K95" s="52">
        <f t="shared" si="17"/>
        <v>0</v>
      </c>
    </row>
    <row r="96" spans="1:11" x14ac:dyDescent="0.2">
      <c r="A96" s="214" t="s">
        <v>386</v>
      </c>
      <c r="B96" s="214"/>
      <c r="C96" s="214"/>
      <c r="D96" s="214"/>
      <c r="E96" s="214"/>
      <c r="F96" s="214"/>
      <c r="G96" s="12">
        <v>85</v>
      </c>
      <c r="H96" s="52">
        <v>0</v>
      </c>
      <c r="I96" s="52">
        <v>0</v>
      </c>
      <c r="J96" s="52">
        <v>0</v>
      </c>
      <c r="K96" s="52">
        <f t="shared" si="17"/>
        <v>0</v>
      </c>
    </row>
    <row r="97" spans="1:11" ht="26.25" customHeight="1" x14ac:dyDescent="0.2">
      <c r="A97" s="214" t="s">
        <v>387</v>
      </c>
      <c r="B97" s="214"/>
      <c r="C97" s="214"/>
      <c r="D97" s="214"/>
      <c r="E97" s="214"/>
      <c r="F97" s="214"/>
      <c r="G97" s="12">
        <v>86</v>
      </c>
      <c r="H97" s="52">
        <v>0</v>
      </c>
      <c r="I97" s="52">
        <v>0</v>
      </c>
      <c r="J97" s="52">
        <v>1588632</v>
      </c>
      <c r="K97" s="52">
        <f>+J97-1449625</f>
        <v>139007</v>
      </c>
    </row>
    <row r="98" spans="1:11" ht="25.5" customHeight="1" x14ac:dyDescent="0.2">
      <c r="A98" s="212" t="s">
        <v>438</v>
      </c>
      <c r="B98" s="212"/>
      <c r="C98" s="212"/>
      <c r="D98" s="212"/>
      <c r="E98" s="212"/>
      <c r="F98" s="212"/>
      <c r="G98" s="12">
        <v>87</v>
      </c>
      <c r="H98" s="69">
        <f>SUM(H99:H106)</f>
        <v>-63476</v>
      </c>
      <c r="I98" s="69">
        <f>SUM(I99:I106)</f>
        <v>0</v>
      </c>
      <c r="J98" s="69">
        <f t="shared" ref="J98:K98" si="18">SUM(J99:J106)</f>
        <v>0</v>
      </c>
      <c r="K98" s="69">
        <f t="shared" si="18"/>
        <v>0</v>
      </c>
    </row>
    <row r="99" spans="1:11" x14ac:dyDescent="0.2">
      <c r="A99" s="213" t="s">
        <v>160</v>
      </c>
      <c r="B99" s="213"/>
      <c r="C99" s="213"/>
      <c r="D99" s="213"/>
      <c r="E99" s="213"/>
      <c r="F99" s="213"/>
      <c r="G99" s="11">
        <v>88</v>
      </c>
      <c r="H99" s="52">
        <v>0</v>
      </c>
      <c r="I99" s="52">
        <v>0</v>
      </c>
      <c r="J99" s="52">
        <v>0</v>
      </c>
      <c r="K99" s="52">
        <f>+J99</f>
        <v>0</v>
      </c>
    </row>
    <row r="100" spans="1:11" ht="36" customHeight="1" x14ac:dyDescent="0.2">
      <c r="A100" s="214" t="s">
        <v>388</v>
      </c>
      <c r="B100" s="214"/>
      <c r="C100" s="214"/>
      <c r="D100" s="214"/>
      <c r="E100" s="214"/>
      <c r="F100" s="214"/>
      <c r="G100" s="11">
        <v>89</v>
      </c>
      <c r="H100" s="52">
        <v>0</v>
      </c>
      <c r="I100" s="52">
        <v>0</v>
      </c>
      <c r="J100" s="52">
        <v>0</v>
      </c>
      <c r="K100" s="52">
        <f t="shared" ref="K100:K107" si="19">+J100</f>
        <v>0</v>
      </c>
    </row>
    <row r="101" spans="1:11" ht="22.15" customHeight="1" x14ac:dyDescent="0.2">
      <c r="A101" s="213" t="s">
        <v>161</v>
      </c>
      <c r="B101" s="213"/>
      <c r="C101" s="213"/>
      <c r="D101" s="213"/>
      <c r="E101" s="213"/>
      <c r="F101" s="213"/>
      <c r="G101" s="11">
        <v>90</v>
      </c>
      <c r="H101" s="52">
        <v>0</v>
      </c>
      <c r="I101" s="52">
        <v>0</v>
      </c>
      <c r="J101" s="52">
        <v>0</v>
      </c>
      <c r="K101" s="52">
        <f t="shared" si="19"/>
        <v>0</v>
      </c>
    </row>
    <row r="102" spans="1:11" ht="22.15" customHeight="1" x14ac:dyDescent="0.2">
      <c r="A102" s="213" t="s">
        <v>162</v>
      </c>
      <c r="B102" s="213"/>
      <c r="C102" s="213"/>
      <c r="D102" s="213"/>
      <c r="E102" s="213"/>
      <c r="F102" s="213"/>
      <c r="G102" s="11">
        <v>91</v>
      </c>
      <c r="H102" s="52">
        <v>0</v>
      </c>
      <c r="I102" s="52">
        <v>0</v>
      </c>
      <c r="J102" s="52">
        <v>0</v>
      </c>
      <c r="K102" s="52">
        <f t="shared" si="19"/>
        <v>0</v>
      </c>
    </row>
    <row r="103" spans="1:11" ht="22.15" customHeight="1" x14ac:dyDescent="0.2">
      <c r="A103" s="213" t="s">
        <v>163</v>
      </c>
      <c r="B103" s="213"/>
      <c r="C103" s="213"/>
      <c r="D103" s="213"/>
      <c r="E103" s="213"/>
      <c r="F103" s="213"/>
      <c r="G103" s="11">
        <v>92</v>
      </c>
      <c r="H103" s="52">
        <v>0</v>
      </c>
      <c r="I103" s="52">
        <v>0</v>
      </c>
      <c r="J103" s="52">
        <v>0</v>
      </c>
      <c r="K103" s="52">
        <f t="shared" si="19"/>
        <v>0</v>
      </c>
    </row>
    <row r="104" spans="1:11" ht="12.75" customHeight="1" x14ac:dyDescent="0.2">
      <c r="A104" s="214" t="s">
        <v>389</v>
      </c>
      <c r="B104" s="214"/>
      <c r="C104" s="214"/>
      <c r="D104" s="214"/>
      <c r="E104" s="214"/>
      <c r="F104" s="214"/>
      <c r="G104" s="11">
        <v>93</v>
      </c>
      <c r="H104" s="52">
        <v>0</v>
      </c>
      <c r="I104" s="52">
        <v>0</v>
      </c>
      <c r="J104" s="52">
        <v>0</v>
      </c>
      <c r="K104" s="52">
        <f t="shared" si="19"/>
        <v>0</v>
      </c>
    </row>
    <row r="105" spans="1:11" ht="26.25" customHeight="1" x14ac:dyDescent="0.2">
      <c r="A105" s="214" t="s">
        <v>390</v>
      </c>
      <c r="B105" s="214"/>
      <c r="C105" s="214"/>
      <c r="D105" s="214"/>
      <c r="E105" s="214"/>
      <c r="F105" s="214"/>
      <c r="G105" s="11">
        <v>94</v>
      </c>
      <c r="H105" s="52">
        <v>0</v>
      </c>
      <c r="I105" s="52">
        <v>0</v>
      </c>
      <c r="J105" s="52">
        <v>0</v>
      </c>
      <c r="K105" s="52">
        <f t="shared" si="19"/>
        <v>0</v>
      </c>
    </row>
    <row r="106" spans="1:11" x14ac:dyDescent="0.2">
      <c r="A106" s="214" t="s">
        <v>391</v>
      </c>
      <c r="B106" s="214"/>
      <c r="C106" s="214"/>
      <c r="D106" s="214"/>
      <c r="E106" s="214"/>
      <c r="F106" s="214"/>
      <c r="G106" s="11">
        <v>95</v>
      </c>
      <c r="H106" s="52">
        <v>-63476</v>
      </c>
      <c r="I106" s="52">
        <f>+H106+63476</f>
        <v>0</v>
      </c>
      <c r="J106" s="52">
        <v>0</v>
      </c>
      <c r="K106" s="52">
        <v>0</v>
      </c>
    </row>
    <row r="107" spans="1:11" ht="24.75" customHeight="1" x14ac:dyDescent="0.2">
      <c r="A107" s="214" t="s">
        <v>392</v>
      </c>
      <c r="B107" s="214"/>
      <c r="C107" s="214"/>
      <c r="D107" s="214"/>
      <c r="E107" s="214"/>
      <c r="F107" s="214"/>
      <c r="G107" s="11">
        <v>96</v>
      </c>
      <c r="H107" s="52">
        <v>0</v>
      </c>
      <c r="I107" s="52">
        <v>0</v>
      </c>
      <c r="J107" s="52">
        <v>0</v>
      </c>
      <c r="K107" s="52">
        <f t="shared" si="19"/>
        <v>0</v>
      </c>
    </row>
    <row r="108" spans="1:11" ht="22.9" customHeight="1" x14ac:dyDescent="0.2">
      <c r="A108" s="192" t="s">
        <v>439</v>
      </c>
      <c r="B108" s="192"/>
      <c r="C108" s="192"/>
      <c r="D108" s="192"/>
      <c r="E108" s="192"/>
      <c r="F108" s="192"/>
      <c r="G108" s="12">
        <v>97</v>
      </c>
      <c r="H108" s="69">
        <f>H91+H98-H107-H97</f>
        <v>-63476</v>
      </c>
      <c r="I108" s="69">
        <f>I91+I98-I107-I97</f>
        <v>0</v>
      </c>
      <c r="J108" s="69">
        <f t="shared" ref="J108:K108" si="20">J91+J98-J107-J97</f>
        <v>-811371</v>
      </c>
      <c r="K108" s="69">
        <f t="shared" si="20"/>
        <v>638254</v>
      </c>
    </row>
    <row r="109" spans="1:11" ht="12.75" customHeight="1" x14ac:dyDescent="0.2">
      <c r="A109" s="192" t="s">
        <v>393</v>
      </c>
      <c r="B109" s="192"/>
      <c r="C109" s="192"/>
      <c r="D109" s="192"/>
      <c r="E109" s="192"/>
      <c r="F109" s="192"/>
      <c r="G109" s="12">
        <v>98</v>
      </c>
      <c r="H109" s="51">
        <f>H89+H108</f>
        <v>-9567339</v>
      </c>
      <c r="I109" s="51">
        <f>I89+I108</f>
        <v>420428</v>
      </c>
      <c r="J109" s="51">
        <f t="shared" ref="J109:K109" si="21">J89+J108</f>
        <v>-18798987</v>
      </c>
      <c r="K109" s="51">
        <f t="shared" si="21"/>
        <v>-1460771</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5" zoomScaleNormal="100" zoomScaleSheetLayoutView="85" workbookViewId="0">
      <selection activeCell="N21" sqref="N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467</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-9503863</v>
      </c>
      <c r="I8" s="64">
        <v>-17987616</v>
      </c>
    </row>
    <row r="9" spans="1:9" ht="12.75" customHeight="1" x14ac:dyDescent="0.2">
      <c r="A9" s="245" t="s">
        <v>171</v>
      </c>
      <c r="B9" s="245"/>
      <c r="C9" s="245"/>
      <c r="D9" s="245"/>
      <c r="E9" s="245"/>
      <c r="F9" s="245"/>
      <c r="G9" s="65">
        <v>2</v>
      </c>
      <c r="H9" s="66">
        <f>H10+H11+H12+H13+H14+H15+H16+H17</f>
        <v>-3693200</v>
      </c>
      <c r="I9" s="66">
        <f>I10+I11+I12+I13+I14+I15+I16+I17</f>
        <v>-1625382</v>
      </c>
    </row>
    <row r="10" spans="1:9" ht="12.75" customHeight="1" x14ac:dyDescent="0.2">
      <c r="A10" s="224" t="s">
        <v>172</v>
      </c>
      <c r="B10" s="224"/>
      <c r="C10" s="224"/>
      <c r="D10" s="224"/>
      <c r="E10" s="224"/>
      <c r="F10" s="224"/>
      <c r="G10" s="63">
        <v>3</v>
      </c>
      <c r="H10" s="64">
        <v>9978864</v>
      </c>
      <c r="I10" s="64">
        <v>15918443</v>
      </c>
    </row>
    <row r="11" spans="1:9" ht="22.15" customHeight="1" x14ac:dyDescent="0.2">
      <c r="A11" s="224" t="s">
        <v>173</v>
      </c>
      <c r="B11" s="224"/>
      <c r="C11" s="224"/>
      <c r="D11" s="224"/>
      <c r="E11" s="224"/>
      <c r="F11" s="224"/>
      <c r="G11" s="63">
        <v>4</v>
      </c>
      <c r="H11" s="64">
        <v>-2247</v>
      </c>
      <c r="I11" s="64">
        <v>-381</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-1440771</v>
      </c>
      <c r="I13" s="64">
        <v>-510983</v>
      </c>
    </row>
    <row r="14" spans="1:9" ht="12.75" customHeight="1" x14ac:dyDescent="0.2">
      <c r="A14" s="224" t="s">
        <v>176</v>
      </c>
      <c r="B14" s="224"/>
      <c r="C14" s="224"/>
      <c r="D14" s="224"/>
      <c r="E14" s="224"/>
      <c r="F14" s="224"/>
      <c r="G14" s="63">
        <v>7</v>
      </c>
      <c r="H14" s="64">
        <v>2042138</v>
      </c>
      <c r="I14" s="64">
        <v>4571572</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246062</v>
      </c>
      <c r="I16" s="64">
        <v>-10022201</v>
      </c>
    </row>
    <row r="17" spans="1:9" ht="25.15" customHeight="1" x14ac:dyDescent="0.2">
      <c r="A17" s="224" t="s">
        <v>179</v>
      </c>
      <c r="B17" s="224"/>
      <c r="C17" s="224"/>
      <c r="D17" s="224"/>
      <c r="E17" s="224"/>
      <c r="F17" s="224"/>
      <c r="G17" s="63">
        <v>10</v>
      </c>
      <c r="H17" s="64">
        <v>-14517246</v>
      </c>
      <c r="I17" s="64">
        <v>-11581832</v>
      </c>
    </row>
    <row r="18" spans="1:9" ht="28.15" customHeight="1" x14ac:dyDescent="0.2">
      <c r="A18" s="241" t="s">
        <v>306</v>
      </c>
      <c r="B18" s="241"/>
      <c r="C18" s="241"/>
      <c r="D18" s="241"/>
      <c r="E18" s="241"/>
      <c r="F18" s="241"/>
      <c r="G18" s="65">
        <v>11</v>
      </c>
      <c r="H18" s="66">
        <f>H8+H9</f>
        <v>-13197063</v>
      </c>
      <c r="I18" s="66">
        <f>I8+I9</f>
        <v>-19612998</v>
      </c>
    </row>
    <row r="19" spans="1:9" ht="12.75" customHeight="1" x14ac:dyDescent="0.2">
      <c r="A19" s="245" t="s">
        <v>180</v>
      </c>
      <c r="B19" s="245"/>
      <c r="C19" s="245"/>
      <c r="D19" s="245"/>
      <c r="E19" s="245"/>
      <c r="F19" s="245"/>
      <c r="G19" s="65">
        <v>12</v>
      </c>
      <c r="H19" s="66">
        <f>H20+H21+H22+H23</f>
        <v>22138453</v>
      </c>
      <c r="I19" s="66">
        <f>I20+I21+I22+I23</f>
        <v>38926658</v>
      </c>
    </row>
    <row r="20" spans="1:9" ht="12.75" customHeight="1" x14ac:dyDescent="0.2">
      <c r="A20" s="224" t="s">
        <v>181</v>
      </c>
      <c r="B20" s="224"/>
      <c r="C20" s="224"/>
      <c r="D20" s="224"/>
      <c r="E20" s="224"/>
      <c r="F20" s="224"/>
      <c r="G20" s="63">
        <v>13</v>
      </c>
      <c r="H20" s="64">
        <v>26055214</v>
      </c>
      <c r="I20" s="64">
        <v>41273665</v>
      </c>
    </row>
    <row r="21" spans="1:9" ht="12.75" customHeight="1" x14ac:dyDescent="0.2">
      <c r="A21" s="224" t="s">
        <v>182</v>
      </c>
      <c r="B21" s="224"/>
      <c r="C21" s="224"/>
      <c r="D21" s="224"/>
      <c r="E21" s="224"/>
      <c r="F21" s="224"/>
      <c r="G21" s="63">
        <v>14</v>
      </c>
      <c r="H21" s="64">
        <v>-11921641</v>
      </c>
      <c r="I21" s="64">
        <v>-11507610</v>
      </c>
    </row>
    <row r="22" spans="1:9" ht="12.75" customHeight="1" x14ac:dyDescent="0.2">
      <c r="A22" s="224" t="s">
        <v>183</v>
      </c>
      <c r="B22" s="224"/>
      <c r="C22" s="224"/>
      <c r="D22" s="224"/>
      <c r="E22" s="224"/>
      <c r="F22" s="224"/>
      <c r="G22" s="63">
        <v>15</v>
      </c>
      <c r="H22" s="64">
        <v>-630024</v>
      </c>
      <c r="I22" s="64">
        <v>-322087</v>
      </c>
    </row>
    <row r="23" spans="1:9" ht="12.75" customHeight="1" x14ac:dyDescent="0.2">
      <c r="A23" s="224" t="s">
        <v>184</v>
      </c>
      <c r="B23" s="224"/>
      <c r="C23" s="224"/>
      <c r="D23" s="224"/>
      <c r="E23" s="224"/>
      <c r="F23" s="224"/>
      <c r="G23" s="63">
        <v>16</v>
      </c>
      <c r="H23" s="64">
        <v>8634904</v>
      </c>
      <c r="I23" s="64">
        <v>9482690</v>
      </c>
    </row>
    <row r="24" spans="1:9" ht="12.75" customHeight="1" x14ac:dyDescent="0.2">
      <c r="A24" s="241" t="s">
        <v>185</v>
      </c>
      <c r="B24" s="241"/>
      <c r="C24" s="241"/>
      <c r="D24" s="241"/>
      <c r="E24" s="241"/>
      <c r="F24" s="241"/>
      <c r="G24" s="65">
        <v>17</v>
      </c>
      <c r="H24" s="66">
        <f>H18+H19</f>
        <v>8941390</v>
      </c>
      <c r="I24" s="66">
        <f>I18+I19</f>
        <v>19313660</v>
      </c>
    </row>
    <row r="25" spans="1:9" ht="12.75" customHeight="1" x14ac:dyDescent="0.2">
      <c r="A25" s="190" t="s">
        <v>186</v>
      </c>
      <c r="B25" s="190"/>
      <c r="C25" s="190"/>
      <c r="D25" s="190"/>
      <c r="E25" s="190"/>
      <c r="F25" s="190"/>
      <c r="G25" s="63">
        <v>18</v>
      </c>
      <c r="H25" s="64">
        <v>-1154729</v>
      </c>
      <c r="I25" s="64">
        <v>-3794016</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7786661</v>
      </c>
      <c r="I27" s="66">
        <f>I24+I25+I26</f>
        <v>15519644</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33914</v>
      </c>
      <c r="I29" s="67">
        <v>33494</v>
      </c>
    </row>
    <row r="30" spans="1:9" ht="12.75" customHeight="1" x14ac:dyDescent="0.2">
      <c r="A30" s="190" t="s">
        <v>191</v>
      </c>
      <c r="B30" s="190"/>
      <c r="C30" s="190"/>
      <c r="D30" s="190"/>
      <c r="E30" s="190"/>
      <c r="F30" s="190"/>
      <c r="G30" s="63">
        <v>22</v>
      </c>
      <c r="H30" s="67">
        <v>290244</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43549</v>
      </c>
      <c r="I32" s="67">
        <v>40000</v>
      </c>
    </row>
    <row r="33" spans="1:9" ht="12.75" customHeight="1" x14ac:dyDescent="0.2">
      <c r="A33" s="190" t="s">
        <v>194</v>
      </c>
      <c r="B33" s="190"/>
      <c r="C33" s="190"/>
      <c r="D33" s="190"/>
      <c r="E33" s="190"/>
      <c r="F33" s="190"/>
      <c r="G33" s="63">
        <v>25</v>
      </c>
      <c r="H33" s="67">
        <v>150000</v>
      </c>
      <c r="I33" s="67">
        <v>150000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517707</v>
      </c>
      <c r="I35" s="68">
        <f>I29+I30+I31+I32+I33+I34</f>
        <v>223494</v>
      </c>
    </row>
    <row r="36" spans="1:9" ht="22.9" customHeight="1" x14ac:dyDescent="0.2">
      <c r="A36" s="190" t="s">
        <v>197</v>
      </c>
      <c r="B36" s="190"/>
      <c r="C36" s="190"/>
      <c r="D36" s="190"/>
      <c r="E36" s="190"/>
      <c r="F36" s="190"/>
      <c r="G36" s="63">
        <v>28</v>
      </c>
      <c r="H36" s="67">
        <v>-2338178</v>
      </c>
      <c r="I36" s="67">
        <v>-11128225</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-5522250</v>
      </c>
      <c r="I40" s="67">
        <v>-7294318</v>
      </c>
    </row>
    <row r="41" spans="1:9" ht="24" customHeight="1" x14ac:dyDescent="0.2">
      <c r="A41" s="241" t="s">
        <v>202</v>
      </c>
      <c r="B41" s="241"/>
      <c r="C41" s="241"/>
      <c r="D41" s="241"/>
      <c r="E41" s="241"/>
      <c r="F41" s="241"/>
      <c r="G41" s="65">
        <v>33</v>
      </c>
      <c r="H41" s="68">
        <f>H36+H37+H38+H39+H40</f>
        <v>-7860428</v>
      </c>
      <c r="I41" s="68">
        <f>I36+I37+I38+I39+I40</f>
        <v>-18422543</v>
      </c>
    </row>
    <row r="42" spans="1:9" ht="29.45" customHeight="1" x14ac:dyDescent="0.2">
      <c r="A42" s="242" t="s">
        <v>203</v>
      </c>
      <c r="B42" s="242"/>
      <c r="C42" s="242"/>
      <c r="D42" s="242"/>
      <c r="E42" s="242"/>
      <c r="F42" s="242"/>
      <c r="G42" s="65">
        <v>34</v>
      </c>
      <c r="H42" s="68">
        <f>H35+H41</f>
        <v>-7342721</v>
      </c>
      <c r="I42" s="68">
        <f>I35+I41</f>
        <v>-18199049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-7207565</v>
      </c>
      <c r="I53" s="67">
        <v>-12552877</v>
      </c>
    </row>
    <row r="54" spans="1:9" ht="30.6" customHeight="1" x14ac:dyDescent="0.2">
      <c r="A54" s="241" t="s">
        <v>214</v>
      </c>
      <c r="B54" s="241"/>
      <c r="C54" s="241"/>
      <c r="D54" s="241"/>
      <c r="E54" s="241"/>
      <c r="F54" s="241"/>
      <c r="G54" s="65">
        <v>45</v>
      </c>
      <c r="H54" s="68">
        <f>H49+H50+H51+H52+H53</f>
        <v>-7207565</v>
      </c>
      <c r="I54" s="68">
        <f>I49+I50+I51+I52+I53</f>
        <v>-12552877</v>
      </c>
    </row>
    <row r="55" spans="1:9" ht="29.45" customHeight="1" x14ac:dyDescent="0.2">
      <c r="A55" s="242" t="s">
        <v>215</v>
      </c>
      <c r="B55" s="242"/>
      <c r="C55" s="242"/>
      <c r="D55" s="242"/>
      <c r="E55" s="242"/>
      <c r="F55" s="242"/>
      <c r="G55" s="65">
        <v>46</v>
      </c>
      <c r="H55" s="68">
        <f>H48+H54</f>
        <v>-7207565</v>
      </c>
      <c r="I55" s="68">
        <f>I48+I54</f>
        <v>-12552877</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-6763625</v>
      </c>
      <c r="I57" s="68">
        <f>I27+I42+I55+I56</f>
        <v>-15232282</v>
      </c>
    </row>
    <row r="58" spans="1:9" x14ac:dyDescent="0.2">
      <c r="A58" s="244" t="s">
        <v>218</v>
      </c>
      <c r="B58" s="244"/>
      <c r="C58" s="244"/>
      <c r="D58" s="244"/>
      <c r="E58" s="244"/>
      <c r="F58" s="244"/>
      <c r="G58" s="63">
        <v>49</v>
      </c>
      <c r="H58" s="67">
        <v>79119537</v>
      </c>
      <c r="I58" s="67">
        <v>44826509</v>
      </c>
    </row>
    <row r="59" spans="1:9" ht="31.15" customHeight="1" x14ac:dyDescent="0.2">
      <c r="A59" s="242" t="s">
        <v>219</v>
      </c>
      <c r="B59" s="242"/>
      <c r="C59" s="242"/>
      <c r="D59" s="242"/>
      <c r="E59" s="242"/>
      <c r="F59" s="242"/>
      <c r="G59" s="65">
        <v>50</v>
      </c>
      <c r="H59" s="68">
        <f>H57+H58</f>
        <v>72355912</v>
      </c>
      <c r="I59" s="68">
        <f>I57+I58</f>
        <v>29594227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L51" sqref="L5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E1" zoomScaleNormal="100" zoomScaleSheetLayoutView="80" workbookViewId="0">
      <selection activeCell="O42" sqref="O4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45838</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92387953</v>
      </c>
      <c r="I7" s="33">
        <v>0</v>
      </c>
      <c r="J7" s="33">
        <v>0</v>
      </c>
      <c r="K7" s="33">
        <v>0</v>
      </c>
      <c r="L7" s="33">
        <v>0</v>
      </c>
      <c r="M7" s="33">
        <v>0</v>
      </c>
      <c r="N7" s="33">
        <v>0</v>
      </c>
      <c r="O7" s="33">
        <v>412184</v>
      </c>
      <c r="P7" s="33">
        <v>63476</v>
      </c>
      <c r="Q7" s="33">
        <v>0</v>
      </c>
      <c r="R7" s="33">
        <v>0</v>
      </c>
      <c r="S7" s="33">
        <v>0</v>
      </c>
      <c r="T7" s="33">
        <v>0</v>
      </c>
      <c r="U7" s="33">
        <v>-80636035</v>
      </c>
      <c r="V7" s="33">
        <v>2252127</v>
      </c>
      <c r="W7" s="34">
        <f>H7+I7+J7+K7-L7+M7+N7+O7+P7+Q7+R7+U7+V7+S7+T7</f>
        <v>14479705</v>
      </c>
      <c r="X7" s="33">
        <v>0</v>
      </c>
      <c r="Y7" s="34">
        <f>W7+X7</f>
        <v>14479705</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92387953</v>
      </c>
      <c r="I10" s="34">
        <f t="shared" ref="I10:Y10" si="2">I7+I8+I9</f>
        <v>0</v>
      </c>
      <c r="J10" s="34">
        <f t="shared" si="2"/>
        <v>0</v>
      </c>
      <c r="K10" s="34">
        <f>K7+K8+K9</f>
        <v>0</v>
      </c>
      <c r="L10" s="34">
        <f t="shared" si="2"/>
        <v>0</v>
      </c>
      <c r="M10" s="34">
        <f t="shared" si="2"/>
        <v>0</v>
      </c>
      <c r="N10" s="34">
        <f t="shared" si="2"/>
        <v>0</v>
      </c>
      <c r="O10" s="34">
        <f t="shared" si="2"/>
        <v>412184</v>
      </c>
      <c r="P10" s="34">
        <f t="shared" si="2"/>
        <v>63476</v>
      </c>
      <c r="Q10" s="34">
        <f t="shared" si="2"/>
        <v>0</v>
      </c>
      <c r="R10" s="34">
        <f t="shared" si="2"/>
        <v>0</v>
      </c>
      <c r="S10" s="34">
        <f t="shared" si="2"/>
        <v>0</v>
      </c>
      <c r="T10" s="34">
        <f t="shared" si="2"/>
        <v>0</v>
      </c>
      <c r="U10" s="34">
        <f t="shared" si="2"/>
        <v>-80636035</v>
      </c>
      <c r="V10" s="34">
        <f t="shared" si="2"/>
        <v>2252127</v>
      </c>
      <c r="W10" s="34">
        <f t="shared" si="2"/>
        <v>14479705</v>
      </c>
      <c r="X10" s="34">
        <f t="shared" si="2"/>
        <v>0</v>
      </c>
      <c r="Y10" s="34">
        <f t="shared" si="2"/>
        <v>14479705</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f>RDG!H68</f>
        <v>-9503863</v>
      </c>
      <c r="W11" s="34">
        <f t="shared" ref="W11:W29" si="3">H11+I11+J11+K11-L11+M11+N11+O11+P11+Q11+R11+U11+V11+S11+T11</f>
        <v>-9503863</v>
      </c>
      <c r="X11" s="33">
        <v>0</v>
      </c>
      <c r="Y11" s="34">
        <f t="shared" ref="Y11:Y29" si="4">W11+X11</f>
        <v>-9503863</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-63476</v>
      </c>
      <c r="Q14" s="35">
        <v>0</v>
      </c>
      <c r="R14" s="35">
        <v>0</v>
      </c>
      <c r="S14" s="33">
        <v>0</v>
      </c>
      <c r="T14" s="33">
        <v>0</v>
      </c>
      <c r="U14" s="33">
        <v>0</v>
      </c>
      <c r="V14" s="33">
        <v>0</v>
      </c>
      <c r="W14" s="34">
        <f t="shared" si="3"/>
        <v>-63476</v>
      </c>
      <c r="X14" s="33">
        <v>0</v>
      </c>
      <c r="Y14" s="34">
        <f t="shared" si="4"/>
        <v>-63476</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H23+I23+J23+K23-L23+M23+N23+O23+P23+Q23+R23+U23+V23+S23+T23</f>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H24+I24+J24+K24-L24+M24+N24+O24+P24+Q24+R24+U24+V24+S24+T24</f>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f>+V10</f>
        <v>2252127</v>
      </c>
      <c r="V28" s="33">
        <f>+U28*-1</f>
        <v>-2252127</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92387953</v>
      </c>
      <c r="I30" s="36">
        <f t="shared" ref="I30:Y30" si="5">SUM(I10:I29)</f>
        <v>0</v>
      </c>
      <c r="J30" s="36">
        <f t="shared" si="5"/>
        <v>0</v>
      </c>
      <c r="K30" s="36">
        <f t="shared" si="5"/>
        <v>0</v>
      </c>
      <c r="L30" s="36">
        <f t="shared" si="5"/>
        <v>0</v>
      </c>
      <c r="M30" s="36">
        <f t="shared" si="5"/>
        <v>0</v>
      </c>
      <c r="N30" s="36">
        <f t="shared" si="5"/>
        <v>0</v>
      </c>
      <c r="O30" s="36">
        <f t="shared" si="5"/>
        <v>412184</v>
      </c>
      <c r="P30" s="36">
        <f t="shared" si="5"/>
        <v>0</v>
      </c>
      <c r="Q30" s="36">
        <f t="shared" si="5"/>
        <v>0</v>
      </c>
      <c r="R30" s="36">
        <f t="shared" si="5"/>
        <v>0</v>
      </c>
      <c r="S30" s="36">
        <f t="shared" si="5"/>
        <v>0</v>
      </c>
      <c r="T30" s="36">
        <f t="shared" si="5"/>
        <v>0</v>
      </c>
      <c r="U30" s="36">
        <f t="shared" si="5"/>
        <v>-78383908</v>
      </c>
      <c r="V30" s="36">
        <f t="shared" si="5"/>
        <v>-9503863</v>
      </c>
      <c r="W30" s="36">
        <f t="shared" si="5"/>
        <v>4912366</v>
      </c>
      <c r="X30" s="36">
        <f t="shared" si="5"/>
        <v>0</v>
      </c>
      <c r="Y30" s="36">
        <f t="shared" si="5"/>
        <v>4912366</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-63476</v>
      </c>
      <c r="Q32" s="34">
        <f t="shared" si="6"/>
        <v>0</v>
      </c>
      <c r="R32" s="34">
        <f t="shared" si="6"/>
        <v>0</v>
      </c>
      <c r="S32" s="34">
        <f t="shared" ref="S32:T32" si="7">SUM(S12:S20)</f>
        <v>0</v>
      </c>
      <c r="T32" s="34">
        <f t="shared" si="7"/>
        <v>0</v>
      </c>
      <c r="U32" s="34">
        <f t="shared" si="6"/>
        <v>0</v>
      </c>
      <c r="V32" s="34">
        <f t="shared" si="6"/>
        <v>0</v>
      </c>
      <c r="W32" s="34">
        <f t="shared" si="6"/>
        <v>-63476</v>
      </c>
      <c r="X32" s="34">
        <f t="shared" si="6"/>
        <v>0</v>
      </c>
      <c r="Y32" s="34">
        <f t="shared" si="6"/>
        <v>-63476</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-63476</v>
      </c>
      <c r="Q33" s="34">
        <f t="shared" si="8"/>
        <v>0</v>
      </c>
      <c r="R33" s="34">
        <f t="shared" si="8"/>
        <v>0</v>
      </c>
      <c r="S33" s="34">
        <f t="shared" ref="S33:T33" si="9">S11+S32</f>
        <v>0</v>
      </c>
      <c r="T33" s="34">
        <f t="shared" si="9"/>
        <v>0</v>
      </c>
      <c r="U33" s="34">
        <f t="shared" si="8"/>
        <v>0</v>
      </c>
      <c r="V33" s="34">
        <f t="shared" si="8"/>
        <v>-9503863</v>
      </c>
      <c r="W33" s="34">
        <f t="shared" si="8"/>
        <v>-9567339</v>
      </c>
      <c r="X33" s="34">
        <f t="shared" si="8"/>
        <v>0</v>
      </c>
      <c r="Y33" s="34">
        <f t="shared" si="8"/>
        <v>-9567339</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2252127</v>
      </c>
      <c r="V34" s="36">
        <f t="shared" si="10"/>
        <v>-2252127</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92387953</v>
      </c>
      <c r="I36" s="33">
        <v>0</v>
      </c>
      <c r="J36" s="33">
        <v>0</v>
      </c>
      <c r="K36" s="33">
        <v>0</v>
      </c>
      <c r="L36" s="33">
        <v>0</v>
      </c>
      <c r="M36" s="33">
        <v>0</v>
      </c>
      <c r="N36" s="33">
        <v>0</v>
      </c>
      <c r="O36" s="33">
        <v>7016033</v>
      </c>
      <c r="P36" s="33">
        <v>0</v>
      </c>
      <c r="Q36" s="33">
        <v>0</v>
      </c>
      <c r="R36" s="33">
        <v>0</v>
      </c>
      <c r="S36" s="33">
        <v>0</v>
      </c>
      <c r="T36" s="33">
        <v>0</v>
      </c>
      <c r="U36" s="33">
        <f>Bilanca!H91</f>
        <v>-78383908</v>
      </c>
      <c r="V36" s="33">
        <f>Bilanca!H94</f>
        <v>-19570829</v>
      </c>
      <c r="W36" s="37">
        <f>H36+I36+J36+K36-L36+M36+N36+O36+P36+Q36+R36+U36+V36+S36+T36</f>
        <v>1449249</v>
      </c>
      <c r="X36" s="33">
        <v>0</v>
      </c>
      <c r="Y36" s="37">
        <f t="shared" ref="Y36:Y38" si="12">W36+X36</f>
        <v>1449249</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ref="W38" si="13">H38+I38+J38+K38-L38+M38+N38+O38+P38+Q38+R38+U38+V38+S38+T38</f>
        <v>0</v>
      </c>
      <c r="X38" s="33">
        <v>0</v>
      </c>
      <c r="Y38" s="37">
        <f t="shared" si="12"/>
        <v>0</v>
      </c>
    </row>
    <row r="39" spans="1:25" ht="25.5" customHeight="1" x14ac:dyDescent="0.2">
      <c r="A39" s="283" t="s">
        <v>430</v>
      </c>
      <c r="B39" s="283"/>
      <c r="C39" s="283"/>
      <c r="D39" s="283"/>
      <c r="E39" s="283"/>
      <c r="F39" s="283"/>
      <c r="G39" s="7">
        <v>31</v>
      </c>
      <c r="H39" s="34">
        <f>H36+H37+H38</f>
        <v>92387953</v>
      </c>
      <c r="I39" s="34">
        <f>I36+I37+I38</f>
        <v>0</v>
      </c>
      <c r="J39" s="34">
        <f t="shared" ref="J39:Y39" si="14">J36+J37+J38</f>
        <v>0</v>
      </c>
      <c r="K39" s="34">
        <f t="shared" si="14"/>
        <v>0</v>
      </c>
      <c r="L39" s="34">
        <f t="shared" si="14"/>
        <v>0</v>
      </c>
      <c r="M39" s="34">
        <f t="shared" si="14"/>
        <v>0</v>
      </c>
      <c r="N39" s="34">
        <f t="shared" si="14"/>
        <v>0</v>
      </c>
      <c r="O39" s="34">
        <f t="shared" si="14"/>
        <v>7016033</v>
      </c>
      <c r="P39" s="34">
        <f t="shared" si="14"/>
        <v>0</v>
      </c>
      <c r="Q39" s="34">
        <f t="shared" si="14"/>
        <v>0</v>
      </c>
      <c r="R39" s="34">
        <f t="shared" si="14"/>
        <v>0</v>
      </c>
      <c r="S39" s="34">
        <f t="shared" si="14"/>
        <v>0</v>
      </c>
      <c r="T39" s="34">
        <f t="shared" si="14"/>
        <v>0</v>
      </c>
      <c r="U39" s="34">
        <f t="shared" si="14"/>
        <v>-78383908</v>
      </c>
      <c r="V39" s="34">
        <f t="shared" si="14"/>
        <v>-19570829</v>
      </c>
      <c r="W39" s="34">
        <f t="shared" si="14"/>
        <v>1449249</v>
      </c>
      <c r="X39" s="34">
        <f t="shared" si="14"/>
        <v>0</v>
      </c>
      <c r="Y39" s="34">
        <f t="shared" si="14"/>
        <v>1449249</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RDG!J64</f>
        <v>-17987616</v>
      </c>
      <c r="W40" s="37">
        <f t="shared" ref="W40:W58" si="15">H40+I40+J40+K40-L40+M40+N40+O40+P40+Q40+R40+U40+V40+S40+T40</f>
        <v>-17987616</v>
      </c>
      <c r="X40" s="33">
        <v>0</v>
      </c>
      <c r="Y40" s="37">
        <f t="shared" ref="Y40:Y58" si="16">W40+X40</f>
        <v>-17987616</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f>RDG!J92-RDG!K97</f>
        <v>638254</v>
      </c>
      <c r="P42" s="35">
        <v>0</v>
      </c>
      <c r="Q42" s="35">
        <v>0</v>
      </c>
      <c r="R42" s="35">
        <v>0</v>
      </c>
      <c r="S42" s="33">
        <v>0</v>
      </c>
      <c r="T42" s="33">
        <v>0</v>
      </c>
      <c r="U42" s="33">
        <v>0</v>
      </c>
      <c r="V42" s="33">
        <v>0</v>
      </c>
      <c r="W42" s="37">
        <f t="shared" si="15"/>
        <v>638254</v>
      </c>
      <c r="X42" s="33">
        <v>0</v>
      </c>
      <c r="Y42" s="37">
        <f t="shared" si="16"/>
        <v>638254</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f>V57*-1</f>
        <v>-19570829</v>
      </c>
      <c r="V57" s="33">
        <f>V36*-1</f>
        <v>19570829</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92387953</v>
      </c>
      <c r="I59" s="36">
        <f t="shared" ref="I59:Y59" si="17">SUM(I39:I58)</f>
        <v>0</v>
      </c>
      <c r="J59" s="36">
        <f t="shared" si="17"/>
        <v>0</v>
      </c>
      <c r="K59" s="36">
        <f t="shared" si="17"/>
        <v>0</v>
      </c>
      <c r="L59" s="36">
        <f t="shared" si="17"/>
        <v>0</v>
      </c>
      <c r="M59" s="36">
        <f t="shared" si="17"/>
        <v>0</v>
      </c>
      <c r="N59" s="36">
        <f t="shared" si="17"/>
        <v>0</v>
      </c>
      <c r="O59" s="36">
        <f t="shared" si="17"/>
        <v>7654287</v>
      </c>
      <c r="P59" s="36">
        <f t="shared" si="17"/>
        <v>0</v>
      </c>
      <c r="Q59" s="36">
        <f t="shared" si="17"/>
        <v>0</v>
      </c>
      <c r="R59" s="36">
        <f t="shared" si="17"/>
        <v>0</v>
      </c>
      <c r="S59" s="36">
        <f t="shared" si="17"/>
        <v>0</v>
      </c>
      <c r="T59" s="36">
        <f t="shared" si="17"/>
        <v>0</v>
      </c>
      <c r="U59" s="36">
        <f t="shared" si="17"/>
        <v>-97954737</v>
      </c>
      <c r="V59" s="36">
        <f t="shared" si="17"/>
        <v>-17987616</v>
      </c>
      <c r="W59" s="36">
        <f t="shared" si="17"/>
        <v>-15900113</v>
      </c>
      <c r="X59" s="36">
        <f t="shared" si="17"/>
        <v>0</v>
      </c>
      <c r="Y59" s="36">
        <f t="shared" si="17"/>
        <v>-15900113</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638254</v>
      </c>
      <c r="P61" s="37">
        <f t="shared" si="18"/>
        <v>0</v>
      </c>
      <c r="Q61" s="37">
        <f t="shared" si="18"/>
        <v>0</v>
      </c>
      <c r="R61" s="37">
        <f t="shared" si="18"/>
        <v>0</v>
      </c>
      <c r="S61" s="37">
        <f t="shared" ref="S61:T61" si="19">SUM(S41:S49)</f>
        <v>0</v>
      </c>
      <c r="T61" s="37">
        <f t="shared" si="19"/>
        <v>0</v>
      </c>
      <c r="U61" s="37">
        <f t="shared" si="18"/>
        <v>0</v>
      </c>
      <c r="V61" s="37">
        <f t="shared" si="18"/>
        <v>0</v>
      </c>
      <c r="W61" s="37">
        <f t="shared" si="18"/>
        <v>638254</v>
      </c>
      <c r="X61" s="37">
        <f t="shared" si="18"/>
        <v>0</v>
      </c>
      <c r="Y61" s="37">
        <f t="shared" si="18"/>
        <v>638254</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638254</v>
      </c>
      <c r="P62" s="37">
        <f t="shared" si="20"/>
        <v>0</v>
      </c>
      <c r="Q62" s="37">
        <f t="shared" si="20"/>
        <v>0</v>
      </c>
      <c r="R62" s="37">
        <f t="shared" si="20"/>
        <v>0</v>
      </c>
      <c r="S62" s="37">
        <f t="shared" ref="S62:T62" si="21">S40+S61</f>
        <v>0</v>
      </c>
      <c r="T62" s="37">
        <f t="shared" si="21"/>
        <v>0</v>
      </c>
      <c r="U62" s="37">
        <f t="shared" si="20"/>
        <v>0</v>
      </c>
      <c r="V62" s="37">
        <f t="shared" si="20"/>
        <v>-17987616</v>
      </c>
      <c r="W62" s="37">
        <f t="shared" si="20"/>
        <v>-17349362</v>
      </c>
      <c r="X62" s="37">
        <f t="shared" si="20"/>
        <v>0</v>
      </c>
      <c r="Y62" s="37">
        <f t="shared" si="20"/>
        <v>-17349362</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-19570829</v>
      </c>
      <c r="V63" s="38">
        <f t="shared" si="22"/>
        <v>19570829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74803149606299213" bottom="0.74803149606299213" header="0.31496062992125984" footer="0.31496062992125984"/>
  <pageSetup paperSize="8" scale="6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8" max="8" width="9.140625" customWidth="1"/>
    <col min="9" max="9" width="35.7109375" customWidth="1"/>
  </cols>
  <sheetData>
    <row r="1" spans="1:9"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ht="78" customHeight="1"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2025-07-30T07:34:40Z</cp:lastPrinted>
  <dcterms:created xsi:type="dcterms:W3CDTF">2008-10-17T11:51:54Z</dcterms:created>
  <dcterms:modified xsi:type="dcterms:W3CDTF">2025-07-30T12:40:05Z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