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5/Izvještaji/06 2025/nekonsolidirano/"/>
    </mc:Choice>
  </mc:AlternateContent>
  <xr:revisionPtr revIDLastSave="10" documentId="8_{8145B3E6-6C13-40B1-9B42-D0F4D56C171B}" xr6:coauthVersionLast="47" xr6:coauthVersionMax="47" xr10:uidLastSave="{32984C8B-F807-44EF-B2E3-21EDDFE927C0}"/>
  <bookViews>
    <workbookView xWindow="-289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8" l="1"/>
  <c r="V57" i="22"/>
  <c r="U57" i="22"/>
  <c r="K36" i="26"/>
  <c r="I131" i="18"/>
  <c r="I127" i="18"/>
  <c r="J36" i="26" l="1"/>
  <c r="J51" i="26"/>
  <c r="I59" i="18" l="1"/>
  <c r="I70" i="18"/>
  <c r="I28" i="18"/>
  <c r="I20" i="18"/>
  <c r="I16" i="18"/>
  <c r="I17" i="20" l="1"/>
  <c r="I105" i="18" l="1"/>
  <c r="I30" i="18" l="1"/>
  <c r="I83" i="18" l="1"/>
  <c r="I53" i="18" l="1"/>
  <c r="I10" i="18" l="1"/>
  <c r="I17" i="18" l="1"/>
  <c r="I38" i="18" l="1"/>
  <c r="H87" i="26" l="1"/>
  <c r="H86" i="26" s="1"/>
  <c r="I87" i="26"/>
  <c r="I86" i="26" s="1"/>
  <c r="J87" i="26"/>
  <c r="J86" i="26" s="1"/>
  <c r="K87" i="26"/>
  <c r="K86" i="26" s="1"/>
  <c r="I10" i="20"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95" i="18" s="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75" i="18" l="1"/>
  <c r="H133" i="18" s="1"/>
  <c r="H42" i="20"/>
  <c r="H55" i="20"/>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98" i="18"/>
  <c r="I94" i="18"/>
  <c r="V40" i="22" s="1"/>
  <c r="W40" i="22" s="1"/>
  <c r="Y40" i="22" s="1"/>
  <c r="I91" i="18"/>
  <c r="I60" i="18"/>
  <c r="I44" i="18" s="1"/>
  <c r="I45" i="18"/>
  <c r="I27" i="18"/>
  <c r="I9" i="18" s="1"/>
  <c r="H57" i="20" l="1"/>
  <c r="H59" i="20" s="1"/>
  <c r="V59" i="22"/>
  <c r="V62" i="22"/>
  <c r="I24" i="20"/>
  <c r="I27" i="20" s="1"/>
  <c r="I55" i="20"/>
  <c r="H72" i="18"/>
  <c r="H134" i="18" s="1"/>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<sst xmlns="http://schemas.openxmlformats.org/spreadsheetml/2006/main" count="543" uniqueCount="479">
  <si>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</si>
  <si>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</si>
  <si>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</si>
  <si>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</si>
  <si>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</si>
  <si>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</si>
  <si>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</si>
  <si>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</si>
  <si>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</si>
  <si>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</si>
  <si>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</si>
  <si>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</si>
  <si>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</si>
  <si>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</si>
  <si>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</si>
  <si>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</si>
  <si>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</si>
  <si>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</si>
  <si>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</si>
  <si>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</si>
  <si>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</si>
  <si>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</si>
  <si>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</si>
  <si>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</si>
  <si>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</si>
  <si>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</si>
  <si>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</si>
  <si>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</si>
  <si>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</si>
  <si>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</si>
  <si>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</si>
  <si>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</si>
  <si>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</si>
  <si>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</si>
  <si>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</si>
  <si>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</si>
  <si>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</si>
  <si>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</si>
  <si>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</si>
  <si>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</si>
  <si>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</si>
  <si>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</si>
  <si>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</si>
  <si>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</si>
  <si>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</si>
  <si>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</si>
  <si>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</si>
  <si>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</si>
  <si>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</si>
  <si>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</si>
  <si>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</si>
  <si>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</si>
  <si>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</si>
  <si>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</si>
  <si>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</si>
  <si>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</si>
  <si>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</si>
  <si>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</si>
  <si>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</si>
  <si>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</si>
  <si>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</si>
  <si>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</si>
  <si>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</si>
  <si>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</si>
  <si>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</si>
  <si>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</si>
  <si>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</si>
  <si>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</si>
  <si>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</si>
  <si>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</si>
  <si>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</si>
  <si>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</si>
  <si>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</si>
  <si>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</si>
  <si>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</si>
  <si>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</si>
  <si>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</si>
  <si>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</si>
  <si>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</si>
  <si>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</si>
  <si>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</si>
  <si>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</si>
  <si>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</si>
  <si>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</si>
  <si>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</si>
  <si>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</si>
  <si>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</si>
  <si>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</si>
  <si>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</si>
  <si>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</si>
  <si>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</si>
  <si>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</si>
  <si>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</si>
  <si>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</si>
  <si>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</si>
  <si>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</si>
  <si>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</si>
  <si>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</si>
  <si>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</si>
  <si>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</si>
  <si>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</si>
  <si>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</si>
  <si>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</si>
  <si>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</si>
  <si>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</si>
  <si>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</si>
  <si>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</si>
  <si>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</si>
  <si>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</si>
  <si>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</si>
  <si>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</si>
  <si>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</si>
  <si>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</si>
  <si>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</si>
  <si>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</si>
  <si>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</si>
  <si>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</si>
  <si>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</si>
  <si>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</si>
  <si>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</si>
  <si>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</si>
  <si>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</si>
  <si>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</si>
  <si>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</si>
  <si>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</si>
  <si>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</si>
  <si>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</si>
  <si>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</si>
  <si>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</si>
  <si>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</si>
  <si>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</si>
  <si>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</si>
  <si>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</si>
  <si>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</si>
  <si>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</si>
  <si>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</si>
  <si>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</si>
  <si>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</si>
  <si>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</si>
  <si>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</si>
  <si>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</si>
  <si>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</si>
  <si>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</si>
  <si>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</si>
  <si>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</si>
  <si>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</si>
  <si>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</si>
  <si>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</si>
  <si>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</si>
  <si>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</si>
  <si>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</si>
  <si>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</si>
  <si>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</si>
  <si>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</si>
  <si>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</si>
  <si>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</si>
  <si>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</si>
  <si>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</si>
  <si>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</si>
  <si>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</si>
  <si>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</si>
  <si>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</si>
  <si>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</si>
  <si>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</si>
  <si>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</si>
  <si>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</si>
  <si>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</si>
  <si>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</si>
  <si>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</si>
  <si>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</si>
  <si>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</si>
  <si>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</si>
  <si>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</si>
  <si>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</si>
  <si>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</si>
  <si>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</si>
  <si>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</si>
  <si>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</si>
  <si>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</si>
  <si>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</si>
  <si>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</si>
  <si>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</si>
  <si>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</si>
  <si>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</si>
  <si>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</si>
  <si>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</si>
  <si>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</si>
  <si>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</si>
  <si>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</si>
  <si>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</si>
  <si>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</si>
  <si>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</si>
  <si>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</si>
  <si>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</si>
  <si>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</si>
  <si>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</si>
  <si>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</si>
  <si>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</si>
  <si>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</si>
  <si>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</si>
  <si>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</si>
  <si>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</si>
  <si>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</si>
  <si>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</si>
  <si>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</si>
  <si>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</si>
  <si>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</si>
  <si>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</si>
  <si>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</si>
  <si>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</si>
  <si>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</si>
  <si>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</si>
  <si>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</si>
  <si>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</si>
  <si>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</si>
  <si>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</si>
  <si>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</si>
  <si>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</si>
  <si>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</si>
  <si>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</si>
  <si>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</si>
  <si>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</si>
  <si>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</si>
  <si>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</si>
  <si>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</si>
  <si>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</si>
  <si>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</si>
  <si>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</si>
  <si>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</si>
  <si>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</si>
  <si>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</si>
  <si>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</si>
  <si>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</si>
  <si>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</si>
  <si>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</si>
  <si>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</si>
  <si>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</si>
  <si>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</si>
  <si>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</si>
  <si>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</si>
  <si>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</si>
  <si>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</si>
  <si>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</si>
  <si>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</si>
  <si>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</si>
  <si>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</si>
  <si>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</si>
  <si>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</si>
  <si>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</si>
  <si>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</si>
  <si>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</si>
  <si>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</si>
  <si>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</si>
  <si>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</si>
  <si>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</si>
  <si>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</si>
  <si>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</si>
  <si>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</si>
  <si>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</si>
  <si>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</si>
  <si>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</si>
  <si>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</si>
  <si>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</si>
  <si>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</si>
  <si>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</si>
  <si>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</si>
  <si>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</si>
  <si>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</si>
  <si>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</si>
  <si>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</si>
  <si>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</si>
  <si>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</si>
  <si>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</si>
  <si>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</si>
  <si>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</si>
  <si>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</si>
  <si>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</si>
  <si>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</si>
  <si>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</si>
  <si>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</si>
  <si>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</si>
  <si>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</si>
  <si>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</si>
  <si>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</si>
  <si>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</si>
  <si>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</si>
  <si>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</si>
  <si>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</si>
  <si>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</si>
  <si>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</si>
  <si>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</si>
  <si>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</si>
  <si>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</si>
  <si>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</si>
  <si>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</si>
  <si>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</si>
  <si>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</si>
  <si>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</si>
  <si>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</si>
  <si>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</si>
  <si>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</si>
  <si>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</si>
  <si>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</si>
  <si>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</si>
  <si>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</si>
  <si>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</si>
  <si>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</si>
  <si>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</si>
  <si>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</si>
  <si>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</si>
  <si>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</si>
  <si>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</si>
  <si>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</si>
  <si>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</si>
  <si>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</si>
  <si>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</si>
  <si>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</si>
  <si>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</si>
  <si>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</si>
  <si>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</si>
  <si>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</si>
  <si>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</si>
  <si>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</si>
  <si>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</si>
  <si>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</si>
  <si>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</si>
  <si>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</si>
  <si>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</si>
  <si>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</si>
  <si>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</si>
  <si>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</si>
  <si>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</si>
  <si>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</si>
  <si>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</si>
  <si>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</si>
  <si>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</si>
  <si>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</si>
  <si>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</si>
  <si>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</si>
  <si>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</si>
  <si>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</si>
  <si>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</si>
  <si>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</si>
  <si>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</si>
  <si>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</si>
  <si>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</si>
  <si>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</si>
  <si>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</si>
  <si>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</si>
  <si>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</si>
  <si>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</si>
  <si>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</si>
  <si>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</si>
  <si>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</si>
  <si>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</si>
  <si>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</si>
  <si>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</si>
  <si>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</si>
  <si>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</si>
  <si>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</si>
  <si>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</si>
  <si>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</si>
  <si>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</si>
  <si>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</si>
  <si>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</si>
  <si>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</si>
  <si>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</si>
  <si>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</si>
  <si>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</si>
  <si>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</si>
  <si>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</si>
  <si>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</si>
  <si>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</si>
  <si>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</si>
  <si>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</si>
  <si>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</si>
  <si>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</si>
  <si>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</si>
  <si>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</si>
  <si>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</si>
  <si>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</si>
  <si>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</si>
  <si>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</si>
  <si>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</si>
  <si>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</si>
  <si>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</si>
  <si>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</si>
  <si>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</si>
  <si>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</si>
  <si>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</si>
  <si>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</si>
  <si>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</si>
  <si>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</si>
  <si>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</si>
  <si>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</si>
  <si>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</si>
  <si>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</si>
  <si>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</si>
  <si>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</si>
  <si>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</si>
  <si>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</si>
  <si>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</si>
  <si>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</si>
  <si>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</si>
  <si>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</si>
  <si>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</si>
  <si>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</si>
  <si>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</si>
  <si>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</si>
  <si>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</si>
  <si>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</si>
  <si>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</si>
  <si>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</si>
  <si>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</si>
  <si>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</si>
  <si>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</si>
  <si>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</si>
  <si>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</si>
  <si>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</si>
  <si>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</si>
  <si>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</si>
  <si>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</si>
  <si>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</si>
  <si>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</si>
  <si>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</si>
  <si>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</si>
  <si>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</si>
  <si>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</si>
  <si>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</si>
  <si>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</si>
  <si>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</si>
  <si>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</si>
  <si>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</si>
  <si>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</si>
  <si>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</si>
  <si>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</si>
  <si>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</si>
  <si>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</si>
  <si>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</si>
  <si>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</si>
  <si>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</si>
  <si>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</si>
  <si>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</si>
  <si>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</si>
  <si>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</si>
  <si>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</si>
  <si>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</si>
  <si>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</si>
  <si>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</si>
  <si>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</si>
  <si>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</si>
  <si>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</si>
  <si>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</si>
  <si>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</si>
  <si>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</si>
  <si>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</si>
  <si>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</si>
  <si>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</si>
  <si>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</si>
  <si>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</si>
  <si>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</si>
  <si>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</si>
  <si>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</si>
  <si>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</si>
  <si>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</si>
  <si>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</si>
  <si>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</si>
  <si>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</si>
  <si>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</si>
  <si>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</si>
  <si>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Obveznik:_PROFESSIO ENERGIA d.d.___________________________________________________</t>
  </si>
  <si>
    <t>Obveznik: _PROFESSIO ENERGIA d.d.__________________________________________________________________</t>
  </si>
  <si>
    <t>Obveznik: _PROFESSIO ENERGIA d.d._____________________________________________________</t>
  </si>
  <si>
    <t>Ivan Čajko</t>
  </si>
  <si>
    <t>Obveznik:Professio Energia d.d.</t>
  </si>
  <si>
    <t>team-m@crowe.hr</t>
  </si>
  <si>
    <t>stanje na dan 30.06.2025</t>
  </si>
  <si>
    <t>u razdoblju 01.01. do 30.06.2025</t>
  </si>
  <si>
    <t>u razdoblju 01.01.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</si>
</sst>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5" zoomScale="130" zoomScaleNormal="100" zoomScaleSheetLayoutView="13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7" t="s">
        <v>0</v>
      </c>
      <c r="H4" s="138">
        <v>45838</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2</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449</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450</v>
      </c>
      <c r="D15" s="146"/>
      <c r="E15" s="163"/>
      <c r="F15" s="164"/>
      <c r="G15" s="114" t="s">
        <v>332</v>
      </c>
      <c r="H15" s="155" t="s">
        <v>452</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454</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455</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456</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457</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458</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9</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335</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t="s">
        <v>459</v>
      </c>
      <c r="B37" s="173"/>
      <c r="C37" s="173"/>
      <c r="D37" s="173"/>
      <c r="E37" s="172" t="s">
        <v>460</v>
      </c>
      <c r="F37" s="173"/>
      <c r="G37" s="173"/>
      <c r="H37" s="173"/>
      <c r="I37" s="174"/>
      <c r="J37" s="89">
        <v>1547445</v>
      </c>
    </row>
    <row r="38" spans="1:10" x14ac:dyDescent="0.25">
      <c r="A38" s="78"/>
      <c r="B38" s="88"/>
      <c r="C38" s="91"/>
      <c r="D38" s="175"/>
      <c r="E38" s="175"/>
      <c r="F38" s="175"/>
      <c r="G38" s="175"/>
      <c r="H38" s="175"/>
      <c r="I38" s="175"/>
      <c r="J38" s="79"/>
    </row>
    <row r="39" spans="1:10" x14ac:dyDescent="0.25">
      <c r="A39" s="172" t="s">
        <v>461</v>
      </c>
      <c r="B39" s="173"/>
      <c r="C39" s="173"/>
      <c r="D39" s="174"/>
      <c r="E39" s="172" t="s">
        <v>463</v>
      </c>
      <c r="F39" s="173"/>
      <c r="G39" s="173"/>
      <c r="H39" s="173"/>
      <c r="I39" s="174"/>
      <c r="J39" s="40">
        <v>1995332</v>
      </c>
    </row>
    <row r="40" spans="1:10" x14ac:dyDescent="0.25">
      <c r="A40" s="78"/>
      <c r="B40" s="88"/>
      <c r="C40" s="91"/>
      <c r="D40" s="90"/>
      <c r="E40" s="175"/>
      <c r="F40" s="175"/>
      <c r="G40" s="175"/>
      <c r="H40" s="175"/>
      <c r="I40" s="87"/>
      <c r="J40" s="79"/>
    </row>
    <row r="41" spans="1:10" x14ac:dyDescent="0.25">
      <c r="A41" s="172" t="s">
        <v>462</v>
      </c>
      <c r="B41" s="173"/>
      <c r="C41" s="173"/>
      <c r="D41" s="174"/>
      <c r="E41" s="172" t="s">
        <v>464</v>
      </c>
      <c r="F41" s="173"/>
      <c r="G41" s="173"/>
      <c r="H41" s="173"/>
      <c r="I41" s="174"/>
      <c r="J41" s="40">
        <v>4824202</v>
      </c>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340</v>
      </c>
      <c r="D50" s="156"/>
      <c r="E50" s="182" t="s">
        <v>342</v>
      </c>
      <c r="F50" s="183"/>
      <c r="G50" s="160" t="s">
        <v>466</v>
      </c>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465</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467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475</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t="s">
        <v>468</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t="s">
        <v>473</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7" zoomScale="130" zoomScaleNormal="100" zoomScaleSheetLayoutView="130" workbookViewId="0">
      <selection activeCell="I121" sqref="I12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476</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470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96749419</v>
      </c>
      <c r="I9" s="82">
        <f>I10+I17+I27+I38+I43</f>
        <v>98377668</v>
      </c>
    </row>
    <row r="10" spans="1:9" ht="12.75" customHeight="1" x14ac:dyDescent="0.2">
      <c r="A10" s="191" t="s">
        <v>5</v>
      </c>
      <c r="B10" s="191"/>
      <c r="C10" s="191"/>
      <c r="D10" s="191"/>
      <c r="E10" s="191"/>
      <c r="F10" s="191"/>
      <c r="G10" s="12">
        <v>3</v>
      </c>
      <c r="H10" s="82">
        <f>H11+H12+H13+H14+H15+H16</f>
        <v>113071</v>
      </c>
      <c r="I10" s="82">
        <f>I11+I12+I13+I14+I15+I16</f>
        <v>76429</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150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112921</v>
      </c>
      <c r="I16" s="18">
        <f>141174+6154+6154+42428-113271-6210</f>
        <v>76429</v>
      </c>
    </row>
    <row r="17" spans="1:9" ht="12.75" customHeight="1" x14ac:dyDescent="0.2">
      <c r="A17" s="191" t="s">
        <v>12</v>
      </c>
      <c r="B17" s="191"/>
      <c r="C17" s="191"/>
      <c r="D17" s="191"/>
      <c r="E17" s="191"/>
      <c r="F17" s="191"/>
      <c r="G17" s="12">
        <v>10</v>
      </c>
      <c r="H17" s="82">
        <f>H18+H19+H20+H21+H22+H23+H24+H25+H26</f>
        <v>398894</v>
      </c>
      <c r="I17" s="82">
        <f>I18+I19+I20+I21+I22+I23+I24+I25+I26</f>
        <v>445537</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103</v>
      </c>
      <c r="I20" s="18">
        <f>27278-14832</f>
        <v>12446</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398791</v>
      </c>
      <c r="I24" s="18">
        <v>433091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96167429</v>
      </c>
      <c r="I27" s="82">
        <f>SUM(I28:I37)</f>
        <v>97785677</v>
      </c>
    </row>
    <row r="28" spans="1:9" ht="12.75" customHeight="1" x14ac:dyDescent="0.2">
      <c r="A28" s="190" t="s">
        <v>23</v>
      </c>
      <c r="B28" s="190"/>
      <c r="C28" s="190"/>
      <c r="D28" s="190"/>
      <c r="E28" s="190"/>
      <c r="F28" s="190"/>
      <c r="G28" s="11">
        <v>21</v>
      </c>
      <c r="H28" s="18">
        <v>79629592</v>
      </c>
      <c r="I28" s="18">
        <f>97785677-I30-I35</f>
        <v>81258040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16520059</v>
      </c>
      <c r="I30" s="18">
        <f>16528568-8509</f>
        <v>16520059</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17778</v>
      </c>
      <c r="I35" s="18">
        <v>7578</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70025</v>
      </c>
      <c r="I43" s="18">
        <v>70025</v>
      </c>
    </row>
    <row r="44" spans="1:9" ht="12.75" customHeight="1" x14ac:dyDescent="0.2">
      <c r="A44" s="192" t="s">
        <v>303</v>
      </c>
      <c r="B44" s="192"/>
      <c r="C44" s="192"/>
      <c r="D44" s="192"/>
      <c r="E44" s="192"/>
      <c r="F44" s="192"/>
      <c r="G44" s="12">
        <v>37</v>
      </c>
      <c r="H44" s="82">
        <f>H45+H53+H60+H70</f>
        <v>2722161</v>
      </c>
      <c r="I44" s="82">
        <f>I45+I53+I60+I70</f>
        <v>9773618</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1043854</v>
      </c>
      <c r="I53" s="82">
        <f>SUM(I54:I59)</f>
        <v>1233604</v>
      </c>
    </row>
    <row r="54" spans="1:9" ht="12.75" customHeight="1" x14ac:dyDescent="0.2">
      <c r="A54" s="190" t="s">
        <v>48</v>
      </c>
      <c r="B54" s="190"/>
      <c r="C54" s="190"/>
      <c r="D54" s="190"/>
      <c r="E54" s="190"/>
      <c r="F54" s="190"/>
      <c r="G54" s="11">
        <v>47</v>
      </c>
      <c r="H54" s="18">
        <v>926832</v>
      </c>
      <c r="I54" s="18">
        <v>1100038</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0</v>
      </c>
      <c r="I56" s="18">
        <v>0</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3617</v>
      </c>
      <c r="I58" s="18">
        <v>350</v>
      </c>
    </row>
    <row r="59" spans="1:9" ht="12.75" customHeight="1" x14ac:dyDescent="0.2">
      <c r="A59" s="190" t="s">
        <v>53</v>
      </c>
      <c r="B59" s="190"/>
      <c r="C59" s="190"/>
      <c r="D59" s="190"/>
      <c r="E59" s="190"/>
      <c r="F59" s="190"/>
      <c r="G59" s="11">
        <v>52</v>
      </c>
      <c r="H59" s="18">
        <v>113405</v>
      </c>
      <c r="I59" s="18">
        <f>132736+480</f>
        <v>133216</v>
      </c>
    </row>
    <row r="60" spans="1:9" ht="12.75" customHeight="1" x14ac:dyDescent="0.2">
      <c r="A60" s="191" t="s">
        <v>54</v>
      </c>
      <c r="B60" s="191"/>
      <c r="C60" s="191"/>
      <c r="D60" s="191"/>
      <c r="E60" s="191"/>
      <c r="F60" s="191"/>
      <c r="G60" s="12">
        <v>53</v>
      </c>
      <c r="H60" s="82">
        <f>SUM(H61:H69)</f>
        <v>837492</v>
      </c>
      <c r="I60" s="82">
        <f>SUM(I61:I69)</f>
        <v>5733356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837492</v>
      </c>
      <c r="I63" s="18">
        <v>1190096</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4543260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840815</v>
      </c>
      <c r="I70" s="18">
        <f>2806700-42</f>
        <v>2806658</v>
      </c>
    </row>
    <row r="71" spans="1:9" ht="12.75" customHeight="1" x14ac:dyDescent="0.2">
      <c r="A71" s="206" t="s">
        <v>58</v>
      </c>
      <c r="B71" s="206"/>
      <c r="C71" s="206"/>
      <c r="D71" s="206"/>
      <c r="E71" s="206"/>
      <c r="F71" s="206"/>
      <c r="G71" s="11">
        <v>64</v>
      </c>
      <c r="H71" s="18">
        <v>29817</v>
      </c>
      <c r="I71" s="18">
        <v>24590</v>
      </c>
    </row>
    <row r="72" spans="1:9" ht="12.75" customHeight="1" x14ac:dyDescent="0.2">
      <c r="A72" s="192" t="s">
        <v>304</v>
      </c>
      <c r="B72" s="192"/>
      <c r="C72" s="192"/>
      <c r="D72" s="192"/>
      <c r="E72" s="192"/>
      <c r="F72" s="192"/>
      <c r="G72" s="12">
        <v>65</v>
      </c>
      <c r="H72" s="82">
        <f>H8+H9+H44+H71</f>
        <v>99501397</v>
      </c>
      <c r="I72" s="82">
        <f>I8+I9+I44+I71</f>
        <v>108175876</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91063331</v>
      </c>
      <c r="I75" s="83">
        <f>I76+I77+I78+I84+I85+I91+I94+I97</f>
        <v>102732847</v>
      </c>
    </row>
    <row r="76" spans="1:9" ht="12.75" customHeight="1" x14ac:dyDescent="0.2">
      <c r="A76" s="190" t="s">
        <v>61</v>
      </c>
      <c r="B76" s="190"/>
      <c r="C76" s="190"/>
      <c r="D76" s="190"/>
      <c r="E76" s="190"/>
      <c r="F76" s="190"/>
      <c r="G76" s="11">
        <v>68</v>
      </c>
      <c r="H76" s="18">
        <v>34010262</v>
      </c>
      <c r="I76" s="18">
        <v>36870262</v>
      </c>
    </row>
    <row r="77" spans="1:9" ht="12.75" customHeight="1" x14ac:dyDescent="0.2">
      <c r="A77" s="190" t="s">
        <v>62</v>
      </c>
      <c r="B77" s="190"/>
      <c r="C77" s="190"/>
      <c r="D77" s="190"/>
      <c r="E77" s="190"/>
      <c r="F77" s="190"/>
      <c r="G77" s="11">
        <v>69</v>
      </c>
      <c r="H77" s="18">
        <v>45066335</v>
      </c>
      <c r="I77" s="18">
        <v>52326335</v>
      </c>
    </row>
    <row r="78" spans="1:9" ht="12.75" customHeight="1" x14ac:dyDescent="0.2">
      <c r="A78" s="191" t="s">
        <v>63</v>
      </c>
      <c r="B78" s="191"/>
      <c r="C78" s="191"/>
      <c r="D78" s="191"/>
      <c r="E78" s="191"/>
      <c r="F78" s="191"/>
      <c r="G78" s="12">
        <v>70</v>
      </c>
      <c r="H78" s="83">
        <f>SUM(H79:H83)</f>
        <v>1666802</v>
      </c>
      <c r="I78" s="83">
        <f>SUM(I79:I83)</f>
        <v>2065110</v>
      </c>
    </row>
    <row r="79" spans="1:9" ht="12.75" customHeight="1" x14ac:dyDescent="0.2">
      <c r="A79" s="190" t="s">
        <v>64</v>
      </c>
      <c r="B79" s="190"/>
      <c r="C79" s="190"/>
      <c r="D79" s="190"/>
      <c r="E79" s="190"/>
      <c r="F79" s="190"/>
      <c r="G79" s="11">
        <v>71</v>
      </c>
      <c r="H79" s="18">
        <v>954458</v>
      </c>
      <c r="I79" s="18">
        <v>1352766</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f>10+712334</f>
        <v>712344</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2353771</v>
      </c>
      <c r="I91" s="82">
        <f>I92-I93</f>
        <v>9921624</v>
      </c>
    </row>
    <row r="92" spans="1:9" ht="12.75" customHeight="1" x14ac:dyDescent="0.2">
      <c r="A92" s="190" t="s">
        <v>72</v>
      </c>
      <c r="B92" s="190"/>
      <c r="C92" s="190"/>
      <c r="D92" s="190"/>
      <c r="E92" s="190"/>
      <c r="F92" s="190"/>
      <c r="G92" s="11">
        <v>84</v>
      </c>
      <c r="H92" s="18">
        <v>2353771</v>
      </c>
      <c r="I92" s="18">
        <v>9921624</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7966161</v>
      </c>
      <c r="I94" s="82">
        <f>I95-I96</f>
        <v>1549516</v>
      </c>
    </row>
    <row r="95" spans="1:9" ht="12.75" customHeight="1" x14ac:dyDescent="0.2">
      <c r="A95" s="190" t="s">
        <v>74</v>
      </c>
      <c r="B95" s="190"/>
      <c r="C95" s="190"/>
      <c r="D95" s="190"/>
      <c r="E95" s="190"/>
      <c r="F95" s="190"/>
      <c r="G95" s="11">
        <v>87</v>
      </c>
      <c r="H95" s="18">
        <v>7966161</v>
      </c>
      <c r="I95" s="18">
        <f>+RDG!J67</f>
        <v>1549516</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4310966</v>
      </c>
      <c r="I105" s="82">
        <f>SUM(I106:I116)</f>
        <v>3613214</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4285439</v>
      </c>
      <c r="I111" s="18">
        <v>3571865</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25527</v>
      </c>
      <c r="I115" s="18">
        <v>41349</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3987107</v>
      </c>
      <c r="I117" s="82">
        <f>SUM(I118:I131)</f>
        <v>1690015</v>
      </c>
    </row>
    <row r="118" spans="1:9" ht="12.75" customHeight="1" x14ac:dyDescent="0.2">
      <c r="A118" s="190" t="s">
        <v>83</v>
      </c>
      <c r="B118" s="190"/>
      <c r="C118" s="190"/>
      <c r="D118" s="190"/>
      <c r="E118" s="190"/>
      <c r="F118" s="190"/>
      <c r="G118" s="11">
        <v>110</v>
      </c>
      <c r="H118" s="18">
        <v>200000</v>
      </c>
      <c r="I118" s="18">
        <v>200000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3435082</v>
      </c>
      <c r="I123" s="18">
        <v>1382508</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81129</v>
      </c>
      <c r="I125" s="18">
        <v>10699</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97277</v>
      </c>
      <c r="I127" s="18">
        <f>30832+235</f>
        <v>31067</v>
      </c>
    </row>
    <row r="128" spans="1:9" x14ac:dyDescent="0.2">
      <c r="A128" s="190" t="s">
        <v>95</v>
      </c>
      <c r="B128" s="190"/>
      <c r="C128" s="190"/>
      <c r="D128" s="190"/>
      <c r="E128" s="190"/>
      <c r="F128" s="190"/>
      <c r="G128" s="11">
        <v>120</v>
      </c>
      <c r="H128" s="18">
        <v>93755</v>
      </c>
      <c r="I128" s="18">
        <v>35088</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79864</v>
      </c>
      <c r="I131" s="18">
        <f>1455+29198</f>
        <v>30653</v>
      </c>
    </row>
    <row r="132" spans="1:9" ht="22.15" customHeight="1" x14ac:dyDescent="0.2">
      <c r="A132" s="206" t="s">
        <v>99</v>
      </c>
      <c r="B132" s="206"/>
      <c r="C132" s="206"/>
      <c r="D132" s="206"/>
      <c r="E132" s="206"/>
      <c r="F132" s="206"/>
      <c r="G132" s="11">
        <v>124</v>
      </c>
      <c r="H132" s="18">
        <v>139993</v>
      </c>
      <c r="I132" s="18">
        <v>139800</v>
      </c>
    </row>
    <row r="133" spans="1:9" ht="12.75" customHeight="1" x14ac:dyDescent="0.2">
      <c r="A133" s="192" t="s">
        <v>356</v>
      </c>
      <c r="B133" s="192"/>
      <c r="C133" s="192"/>
      <c r="D133" s="192"/>
      <c r="E133" s="192"/>
      <c r="F133" s="192"/>
      <c r="G133" s="12">
        <v>125</v>
      </c>
      <c r="H133" s="82">
        <f>H75+H98+H105+H117+H132</f>
        <v>99501397</v>
      </c>
      <c r="I133" s="82">
        <f>I75+I98+I105+I117+I132</f>
        <v>108175876</v>
      </c>
    </row>
    <row r="134" spans="1:9" x14ac:dyDescent="0.2">
      <c r="A134" s="206" t="s">
        <v>100</v>
      </c>
      <c r="B134" s="206"/>
      <c r="C134" s="206"/>
      <c r="D134" s="206"/>
      <c r="E134" s="206"/>
      <c r="F134" s="206"/>
      <c r="G134" s="11">
        <v>126</v>
      </c>
      <c r="H134" s="18">
        <f>+H133-H72</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3" zoomScale="115" zoomScaleNormal="115" zoomScaleSheetLayoutView="110" workbookViewId="0">
      <selection activeCell="I49" sqref="I4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477</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471</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176847</v>
      </c>
      <c r="I8" s="48">
        <f>SUM(I9:I13)</f>
        <v>88332</v>
      </c>
      <c r="J8" s="48">
        <f>SUM(J9:J13)</f>
        <v>149564</v>
      </c>
      <c r="K8" s="48">
        <f>SUM(K9:K13)</f>
        <v>90757</v>
      </c>
    </row>
    <row r="9" spans="1:11" ht="12.75" customHeight="1" x14ac:dyDescent="0.2">
      <c r="A9" s="190" t="s">
        <v>115</v>
      </c>
      <c r="B9" s="190"/>
      <c r="C9" s="190"/>
      <c r="D9" s="190"/>
      <c r="E9" s="190"/>
      <c r="F9" s="190"/>
      <c r="G9" s="11">
        <v>2</v>
      </c>
      <c r="H9" s="49">
        <v>172282</v>
      </c>
      <c r="I9" s="49">
        <v>86050</v>
      </c>
      <c r="J9" s="49">
        <v>135247</v>
      </c>
      <c r="K9" s="49">
        <v>78791</v>
      </c>
    </row>
    <row r="10" spans="1:11" ht="12.75" customHeight="1" x14ac:dyDescent="0.2">
      <c r="A10" s="190" t="s">
        <v>116</v>
      </c>
      <c r="B10" s="190"/>
      <c r="C10" s="190"/>
      <c r="D10" s="190"/>
      <c r="E10" s="190"/>
      <c r="F10" s="190"/>
      <c r="G10" s="11">
        <v>3</v>
      </c>
      <c r="H10" s="49">
        <v>0</v>
      </c>
      <c r="I10" s="49">
        <v>0</v>
      </c>
      <c r="J10" s="49">
        <v>10400</v>
      </c>
      <c r="K10" s="49">
        <v>10400</v>
      </c>
    </row>
    <row r="11" spans="1:11" ht="12.75" customHeight="1" x14ac:dyDescent="0.2">
      <c r="A11" s="190" t="s">
        <v>117</v>
      </c>
      <c r="B11" s="190"/>
      <c r="C11" s="190"/>
      <c r="D11" s="190"/>
      <c r="E11" s="190"/>
      <c r="F11" s="190"/>
      <c r="G11" s="11">
        <v>4</v>
      </c>
      <c r="H11" s="49">
        <v>583</v>
      </c>
      <c r="I11" s="49">
        <v>291</v>
      </c>
      <c r="J11" s="49">
        <v>599</v>
      </c>
      <c r="K11" s="49">
        <v>239</v>
      </c>
    </row>
    <row r="12" spans="1:11" ht="12.75" customHeight="1" x14ac:dyDescent="0.2">
      <c r="A12" s="190" t="s">
        <v>118</v>
      </c>
      <c r="B12" s="190"/>
      <c r="C12" s="190"/>
      <c r="D12" s="190"/>
      <c r="E12" s="190"/>
      <c r="F12" s="190"/>
      <c r="G12" s="11">
        <v>5</v>
      </c>
      <c r="H12" s="49">
        <v>3982</v>
      </c>
      <c r="I12" s="49">
        <v>1991</v>
      </c>
      <c r="J12" s="49">
        <v>3318</v>
      </c>
      <c r="K12" s="49">
        <v>1327</v>
      </c>
    </row>
    <row r="13" spans="1:11" ht="12.75" customHeight="1" x14ac:dyDescent="0.2">
      <c r="A13" s="190" t="s">
        <v>119</v>
      </c>
      <c r="B13" s="190"/>
      <c r="C13" s="190"/>
      <c r="D13" s="190"/>
      <c r="E13" s="190"/>
      <c r="F13" s="190"/>
      <c r="G13" s="11">
        <v>6</v>
      </c>
      <c r="H13" s="49">
        <v>0</v>
      </c>
      <c r="I13" s="49">
        <v>0</v>
      </c>
      <c r="J13" s="49">
        <v>0</v>
      </c>
      <c r="K13" s="49">
        <v>0</v>
      </c>
    </row>
    <row r="14" spans="1:11" ht="12.75" customHeight="1" x14ac:dyDescent="0.2">
      <c r="A14" s="224" t="s">
        <v>358</v>
      </c>
      <c r="B14" s="224"/>
      <c r="C14" s="224"/>
      <c r="D14" s="224"/>
      <c r="E14" s="224"/>
      <c r="F14" s="224"/>
      <c r="G14" s="12">
        <v>7</v>
      </c>
      <c r="H14" s="48">
        <f>H15+H16+H20+H24+H25+H26+H29+H36</f>
        <v>607254</v>
      </c>
      <c r="I14" s="48">
        <f>I15+I16+I20+I24+I25+I26+I29+I36</f>
        <v>355799</v>
      </c>
      <c r="J14" s="48">
        <f>J15+J16+J20+J24+J25+J26+J29+J36</f>
        <v>553672</v>
      </c>
      <c r="K14" s="48">
        <f>K15+K16+K20+K24+K25+K26+K29+K36</f>
        <v>311356</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176019</v>
      </c>
      <c r="I16" s="48">
        <f>SUM(I17:I19)</f>
        <v>122684</v>
      </c>
      <c r="J16" s="48">
        <f>SUM(J17:J19)</f>
        <v>113667</v>
      </c>
      <c r="K16" s="48">
        <f>SUM(K17:K19)</f>
        <v>68442</v>
      </c>
    </row>
    <row r="17" spans="1:11" ht="12.75" customHeight="1" x14ac:dyDescent="0.2">
      <c r="A17" s="225" t="s">
        <v>120</v>
      </c>
      <c r="B17" s="225"/>
      <c r="C17" s="225"/>
      <c r="D17" s="225"/>
      <c r="E17" s="225"/>
      <c r="F17" s="225"/>
      <c r="G17" s="11">
        <v>10</v>
      </c>
      <c r="H17" s="49">
        <v>9478</v>
      </c>
      <c r="I17" s="49">
        <v>3996</v>
      </c>
      <c r="J17" s="49">
        <v>10761</v>
      </c>
      <c r="K17" s="49">
        <v>7318</v>
      </c>
    </row>
    <row r="18" spans="1:11" ht="12.75" customHeight="1" x14ac:dyDescent="0.2">
      <c r="A18" s="225" t="s">
        <v>121</v>
      </c>
      <c r="B18" s="225"/>
      <c r="C18" s="225"/>
      <c r="D18" s="225"/>
      <c r="E18" s="225"/>
      <c r="F18" s="225"/>
      <c r="G18" s="11">
        <v>11</v>
      </c>
      <c r="H18" s="49">
        <v>0</v>
      </c>
      <c r="I18" s="49">
        <v>0</v>
      </c>
      <c r="J18" s="49">
        <v>12149</v>
      </c>
      <c r="K18" s="49">
        <v>12149</v>
      </c>
    </row>
    <row r="19" spans="1:11" ht="12.75" customHeight="1" x14ac:dyDescent="0.2">
      <c r="A19" s="225" t="s">
        <v>122</v>
      </c>
      <c r="B19" s="225"/>
      <c r="C19" s="225"/>
      <c r="D19" s="225"/>
      <c r="E19" s="225"/>
      <c r="F19" s="225"/>
      <c r="G19" s="11">
        <v>12</v>
      </c>
      <c r="H19" s="49">
        <v>166541</v>
      </c>
      <c r="I19" s="49">
        <v>118688</v>
      </c>
      <c r="J19" s="49">
        <v>90757</v>
      </c>
      <c r="K19" s="49">
        <v>48975</v>
      </c>
    </row>
    <row r="20" spans="1:11" ht="12.75" customHeight="1" x14ac:dyDescent="0.2">
      <c r="A20" s="191" t="s">
        <v>439</v>
      </c>
      <c r="B20" s="191"/>
      <c r="C20" s="191"/>
      <c r="D20" s="191"/>
      <c r="E20" s="191"/>
      <c r="F20" s="191"/>
      <c r="G20" s="12">
        <v>13</v>
      </c>
      <c r="H20" s="48">
        <f>SUM(H21:H23)</f>
        <v>248760</v>
      </c>
      <c r="I20" s="48">
        <f>SUM(I21:I23)</f>
        <v>124380</v>
      </c>
      <c r="J20" s="48">
        <f>SUM(J21:J23)</f>
        <v>276404</v>
      </c>
      <c r="K20" s="48">
        <f>SUM(K21:K23)</f>
        <v>151876</v>
      </c>
    </row>
    <row r="21" spans="1:11" ht="12.75" customHeight="1" x14ac:dyDescent="0.2">
      <c r="A21" s="225" t="s">
        <v>105</v>
      </c>
      <c r="B21" s="225"/>
      <c r="C21" s="225"/>
      <c r="D21" s="225"/>
      <c r="E21" s="225"/>
      <c r="F21" s="225"/>
      <c r="G21" s="11">
        <v>14</v>
      </c>
      <c r="H21" s="49">
        <v>141142</v>
      </c>
      <c r="I21" s="49">
        <v>70571</v>
      </c>
      <c r="J21" s="49">
        <v>158222</v>
      </c>
      <c r="K21" s="49">
        <v>86638</v>
      </c>
    </row>
    <row r="22" spans="1:11" ht="12.75" customHeight="1" x14ac:dyDescent="0.2">
      <c r="A22" s="225" t="s">
        <v>106</v>
      </c>
      <c r="B22" s="225"/>
      <c r="C22" s="225"/>
      <c r="D22" s="225"/>
      <c r="E22" s="225"/>
      <c r="F22" s="225"/>
      <c r="G22" s="11">
        <v>15</v>
      </c>
      <c r="H22" s="49">
        <v>72386</v>
      </c>
      <c r="I22" s="49">
        <v>36193</v>
      </c>
      <c r="J22" s="49">
        <v>78899</v>
      </c>
      <c r="K22" s="49">
        <v>43592</v>
      </c>
    </row>
    <row r="23" spans="1:11" ht="12.75" customHeight="1" x14ac:dyDescent="0.2">
      <c r="A23" s="225" t="s">
        <v>107</v>
      </c>
      <c r="B23" s="225"/>
      <c r="C23" s="225"/>
      <c r="D23" s="225"/>
      <c r="E23" s="225"/>
      <c r="F23" s="225"/>
      <c r="G23" s="11">
        <v>16</v>
      </c>
      <c r="H23" s="49">
        <v>35232</v>
      </c>
      <c r="I23" s="49">
        <v>17616</v>
      </c>
      <c r="J23" s="49">
        <v>39283</v>
      </c>
      <c r="K23" s="49">
        <v>21646</v>
      </c>
    </row>
    <row r="24" spans="1:11" ht="12.75" customHeight="1" x14ac:dyDescent="0.2">
      <c r="A24" s="190" t="s">
        <v>108</v>
      </c>
      <c r="B24" s="190"/>
      <c r="C24" s="190"/>
      <c r="D24" s="190"/>
      <c r="E24" s="190"/>
      <c r="F24" s="190"/>
      <c r="G24" s="11">
        <v>17</v>
      </c>
      <c r="H24" s="49">
        <v>40350</v>
      </c>
      <c r="I24" s="49">
        <v>21668</v>
      </c>
      <c r="J24" s="49">
        <v>33753</v>
      </c>
      <c r="K24" s="49">
        <v>12529</v>
      </c>
    </row>
    <row r="25" spans="1:11" ht="12.75" customHeight="1" x14ac:dyDescent="0.2">
      <c r="A25" s="190" t="s">
        <v>109</v>
      </c>
      <c r="B25" s="190"/>
      <c r="C25" s="190"/>
      <c r="D25" s="190"/>
      <c r="E25" s="190"/>
      <c r="F25" s="190"/>
      <c r="G25" s="11">
        <v>18</v>
      </c>
      <c r="H25" s="49">
        <v>134374</v>
      </c>
      <c r="I25" s="49">
        <v>85883</v>
      </c>
      <c r="J25" s="49">
        <v>119328</v>
      </c>
      <c r="K25" s="49">
        <v>72554</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7751</v>
      </c>
      <c r="I36" s="49">
        <v>1184</v>
      </c>
      <c r="J36" s="49">
        <f>6720+3800</f>
        <v>10520</v>
      </c>
      <c r="K36" s="49">
        <f>1785+4170</f>
        <v>5955</v>
      </c>
    </row>
    <row r="37" spans="1:11" ht="12.75" customHeight="1" x14ac:dyDescent="0.2">
      <c r="A37" s="224" t="s">
        <v>359</v>
      </c>
      <c r="B37" s="224"/>
      <c r="C37" s="224"/>
      <c r="D37" s="224"/>
      <c r="E37" s="224"/>
      <c r="F37" s="224"/>
      <c r="G37" s="12">
        <v>30</v>
      </c>
      <c r="H37" s="48">
        <f>SUM(H38:H47)</f>
        <v>4061053</v>
      </c>
      <c r="I37" s="48">
        <f>SUM(I38:I47)</f>
        <v>1131818</v>
      </c>
      <c r="J37" s="48">
        <f>SUM(J38:J47)</f>
        <v>382163</v>
      </c>
      <c r="K37" s="48">
        <f>SUM(K38:K47)</f>
        <v>206835</v>
      </c>
    </row>
    <row r="38" spans="1:11" ht="12.75" customHeight="1" x14ac:dyDescent="0.2">
      <c r="A38" s="190" t="s">
        <v>131</v>
      </c>
      <c r="B38" s="190"/>
      <c r="C38" s="190"/>
      <c r="D38" s="190"/>
      <c r="E38" s="190"/>
      <c r="F38" s="190"/>
      <c r="G38" s="11">
        <v>31</v>
      </c>
      <c r="H38" s="49">
        <v>3800000</v>
      </c>
      <c r="I38" s="49">
        <v>1000000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260695</v>
      </c>
      <c r="I41" s="49">
        <v>131460</v>
      </c>
      <c r="J41" s="49">
        <v>352604</v>
      </c>
      <c r="K41" s="49">
        <v>177276</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329</v>
      </c>
      <c r="I44" s="49">
        <v>329</v>
      </c>
      <c r="J44" s="49">
        <v>29559</v>
      </c>
      <c r="K44" s="49">
        <v>29559</v>
      </c>
    </row>
    <row r="45" spans="1:11" ht="12.75" customHeight="1" x14ac:dyDescent="0.2">
      <c r="A45" s="190" t="s">
        <v>138</v>
      </c>
      <c r="B45" s="190"/>
      <c r="C45" s="190"/>
      <c r="D45" s="190"/>
      <c r="E45" s="190"/>
      <c r="F45" s="190"/>
      <c r="G45" s="11">
        <v>38</v>
      </c>
      <c r="H45" s="49">
        <v>29</v>
      </c>
      <c r="I45" s="49">
        <v>29</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70824</v>
      </c>
      <c r="I48" s="48">
        <f>SUM(I49:I55)</f>
        <v>69230</v>
      </c>
      <c r="J48" s="48">
        <f>SUM(J49:J55)</f>
        <v>56986</v>
      </c>
      <c r="K48" s="48">
        <f>SUM(K49:K55)</f>
        <v>56125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70772</v>
      </c>
      <c r="I51" s="49">
        <v>69226</v>
      </c>
      <c r="J51" s="49">
        <f>56957+11</f>
        <v>56968</v>
      </c>
      <c r="K51" s="49">
        <v>56125</v>
      </c>
    </row>
    <row r="52" spans="1:11" ht="12.75" customHeight="1" x14ac:dyDescent="0.2">
      <c r="A52" s="228" t="s">
        <v>144</v>
      </c>
      <c r="B52" s="228"/>
      <c r="C52" s="228"/>
      <c r="D52" s="228"/>
      <c r="E52" s="228"/>
      <c r="F52" s="228"/>
      <c r="G52" s="11">
        <v>45</v>
      </c>
      <c r="H52" s="49">
        <v>52</v>
      </c>
      <c r="I52" s="49">
        <v>4</v>
      </c>
      <c r="J52" s="49">
        <v>18</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456803</v>
      </c>
      <c r="I57" s="49">
        <v>32706</v>
      </c>
      <c r="J57" s="49">
        <v>1628447</v>
      </c>
      <c r="K57" s="49">
        <v>404538</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4694703</v>
      </c>
      <c r="I60" s="48">
        <f t="shared" ref="I60:K60" si="0">I8+I37+I56+I57</f>
        <v>1252856</v>
      </c>
      <c r="J60" s="48">
        <f t="shared" si="0"/>
        <v>2160174</v>
      </c>
      <c r="K60" s="48">
        <f t="shared" si="0"/>
        <v>702130</v>
      </c>
    </row>
    <row r="61" spans="1:11" ht="12.75" customHeight="1" x14ac:dyDescent="0.2">
      <c r="A61" s="224" t="s">
        <v>362</v>
      </c>
      <c r="B61" s="224"/>
      <c r="C61" s="224"/>
      <c r="D61" s="224"/>
      <c r="E61" s="224"/>
      <c r="F61" s="224"/>
      <c r="G61" s="12">
        <v>54</v>
      </c>
      <c r="H61" s="48">
        <f>H14+H48+H58+H59</f>
        <v>678078</v>
      </c>
      <c r="I61" s="48">
        <f t="shared" ref="I61:K61" si="1">I14+I48+I58+I59</f>
        <v>425029</v>
      </c>
      <c r="J61" s="48">
        <f t="shared" si="1"/>
        <v>610658</v>
      </c>
      <c r="K61" s="48">
        <f t="shared" si="1"/>
        <v>367481</v>
      </c>
    </row>
    <row r="62" spans="1:11" ht="12.75" customHeight="1" x14ac:dyDescent="0.2">
      <c r="A62" s="224" t="s">
        <v>363</v>
      </c>
      <c r="B62" s="224"/>
      <c r="C62" s="224"/>
      <c r="D62" s="224"/>
      <c r="E62" s="224"/>
      <c r="F62" s="224"/>
      <c r="G62" s="12">
        <v>55</v>
      </c>
      <c r="H62" s="48">
        <f>H60-H61</f>
        <v>4016625</v>
      </c>
      <c r="I62" s="48">
        <f t="shared" ref="I62:K62" si="2">I60-I61</f>
        <v>827827</v>
      </c>
      <c r="J62" s="48">
        <f t="shared" si="2"/>
        <v>1549516</v>
      </c>
      <c r="K62" s="48">
        <f t="shared" si="2"/>
        <v>334649</v>
      </c>
    </row>
    <row r="63" spans="1:11" ht="12.75" customHeight="1" x14ac:dyDescent="0.2">
      <c r="A63" s="229" t="s">
        <v>364</v>
      </c>
      <c r="B63" s="229"/>
      <c r="C63" s="229"/>
      <c r="D63" s="229"/>
      <c r="E63" s="229"/>
      <c r="F63" s="229"/>
      <c r="G63" s="12">
        <v>56</v>
      </c>
      <c r="H63" s="48">
        <f>+IF((H60-H61)&gt;0,(H60-H61),0)</f>
        <v>4016625</v>
      </c>
      <c r="I63" s="48">
        <f t="shared" ref="I63:K63" si="3">+IF((I60-I61)&gt;0,(I60-I61),0)</f>
        <v>827827</v>
      </c>
      <c r="J63" s="48">
        <f t="shared" si="3"/>
        <v>1549516</v>
      </c>
      <c r="K63" s="48">
        <f t="shared" si="3"/>
        <v>334649</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4016625</v>
      </c>
      <c r="I66" s="48">
        <f t="shared" ref="I66:K66" si="5">I62-I65</f>
        <v>827827</v>
      </c>
      <c r="J66" s="48">
        <f t="shared" si="5"/>
        <v>1549516</v>
      </c>
      <c r="K66" s="48">
        <f t="shared" si="5"/>
        <v>334649</v>
      </c>
    </row>
    <row r="67" spans="1:11" ht="12.75" customHeight="1" x14ac:dyDescent="0.2">
      <c r="A67" s="229" t="s">
        <v>367</v>
      </c>
      <c r="B67" s="229"/>
      <c r="C67" s="229"/>
      <c r="D67" s="229"/>
      <c r="E67" s="229"/>
      <c r="F67" s="229"/>
      <c r="G67" s="12">
        <v>60</v>
      </c>
      <c r="H67" s="48">
        <f>+IF((H62-H65)&gt;0,(H62-H65),0)</f>
        <v>4016625</v>
      </c>
      <c r="I67" s="48">
        <f t="shared" ref="I67:K67" si="6">+IF((I62-I65)&gt;0,(I62-I65),0)</f>
        <v>827827</v>
      </c>
      <c r="J67" s="48">
        <f t="shared" si="6"/>
        <v>1549516</v>
      </c>
      <c r="K67" s="48">
        <f t="shared" si="6"/>
        <v>334649</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f t="shared" ref="H86:K86" si="8">H87+H88</f>
        <v>0</v>
      </c>
      <c r="I86" s="52">
        <f t="shared" si="8"/>
        <v>0</v>
      </c>
      <c r="J86" s="52">
        <f t="shared" si="8"/>
        <v>0</v>
      </c>
      <c r="K86" s="52">
        <f t="shared" si="8"/>
        <v>0</v>
      </c>
    </row>
    <row r="87" spans="1:11" ht="12.75" customHeight="1" x14ac:dyDescent="0.2">
      <c r="A87" s="236" t="s">
        <v>158</v>
      </c>
      <c r="B87" s="236"/>
      <c r="C87" s="236"/>
      <c r="D87" s="236"/>
      <c r="E87" s="236"/>
      <c r="F87" s="236"/>
      <c r="G87" s="11">
        <v>77</v>
      </c>
      <c r="H87" s="52">
        <f t="shared" ref="H87:K87" si="9">H88+H89</f>
        <v>0</v>
      </c>
      <c r="I87" s="52">
        <f t="shared" si="9"/>
        <v>0</v>
      </c>
      <c r="J87" s="52">
        <f t="shared" si="9"/>
        <v>0</v>
      </c>
      <c r="K87" s="52">
        <f t="shared" si="9"/>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0">J91+J98</f>
        <v>0</v>
      </c>
      <c r="K90" s="69">
        <f t="shared" si="10"/>
        <v>0</v>
      </c>
    </row>
    <row r="91" spans="1:11" ht="24" customHeight="1" x14ac:dyDescent="0.2">
      <c r="A91" s="239" t="s">
        <v>442</v>
      </c>
      <c r="B91" s="239"/>
      <c r="C91" s="239"/>
      <c r="D91" s="239"/>
      <c r="E91" s="239"/>
      <c r="F91" s="239"/>
      <c r="G91" s="12">
        <v>80</v>
      </c>
      <c r="H91" s="69">
        <f>SUM(H92:H96)</f>
        <v>0</v>
      </c>
      <c r="I91" s="69">
        <f>SUM(I92:I96)</f>
        <v>0</v>
      </c>
      <c r="J91" s="69">
        <f t="shared" ref="J91:K91" si="11">SUM(J92:J96)</f>
        <v>0</v>
      </c>
      <c r="K91" s="69">
        <f t="shared" si="11"/>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2">SUM(J99:J106)</f>
        <v>0</v>
      </c>
      <c r="K98" s="69">
        <f t="shared" si="12"/>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3">J91+J98-J107-J97</f>
        <v>0</v>
      </c>
      <c r="K108" s="69">
        <f t="shared" si="13"/>
        <v>0</v>
      </c>
    </row>
    <row r="109" spans="1:11" ht="12.75" customHeight="1" x14ac:dyDescent="0.2">
      <c r="A109" s="192" t="s">
        <v>391</v>
      </c>
      <c r="B109" s="192"/>
      <c r="C109" s="192"/>
      <c r="D109" s="192"/>
      <c r="E109" s="192"/>
      <c r="F109" s="192"/>
      <c r="G109" s="12">
        <v>98</v>
      </c>
      <c r="H109" s="51">
        <f>H89+H108</f>
        <v>0</v>
      </c>
      <c r="I109" s="51">
        <f>I89+I108</f>
        <v>0</v>
      </c>
      <c r="J109" s="51">
        <f t="shared" ref="J109:K109" si="14">J89+J108</f>
        <v>0</v>
      </c>
      <c r="K109" s="51">
        <f t="shared" si="14"/>
        <v>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4" zoomScale="115" zoomScaleNormal="100" zoomScaleSheetLayoutView="115" workbookViewId="0">
      <selection activeCell="I51" sqref="I5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478</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472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4016625</v>
      </c>
      <c r="I8" s="64">
        <f>+RDG!J62</f>
        <v>1549516</v>
      </c>
    </row>
    <row r="9" spans="1:9" ht="12.75" customHeight="1" x14ac:dyDescent="0.2">
      <c r="A9" s="248" t="s">
        <v>171</v>
      </c>
      <c r="B9" s="248"/>
      <c r="C9" s="248"/>
      <c r="D9" s="248"/>
      <c r="E9" s="248"/>
      <c r="F9" s="248"/>
      <c r="G9" s="65">
        <v>2</v>
      </c>
      <c r="H9" s="66">
        <f>H10+H11+H12+H13+H14+H15+H16+H17</f>
        <v>40350</v>
      </c>
      <c r="I9" s="66">
        <f>I10+I11+I12+I13+I14+I15+I16+I17</f>
        <v>-1873036</v>
      </c>
    </row>
    <row r="10" spans="1:9" ht="12.75" customHeight="1" x14ac:dyDescent="0.2">
      <c r="A10" s="225" t="s">
        <v>172</v>
      </c>
      <c r="B10" s="225"/>
      <c r="C10" s="225"/>
      <c r="D10" s="225"/>
      <c r="E10" s="225"/>
      <c r="F10" s="225"/>
      <c r="G10" s="63">
        <v>3</v>
      </c>
      <c r="H10" s="64">
        <v>40350</v>
      </c>
      <c r="I10" s="64">
        <f>+RDG!J24</f>
        <v>33753</v>
      </c>
    </row>
    <row r="11" spans="1:9" ht="22.15" customHeight="1" x14ac:dyDescent="0.2">
      <c r="A11" s="225" t="s">
        <v>173</v>
      </c>
      <c r="B11" s="225"/>
      <c r="C11" s="225"/>
      <c r="D11" s="225"/>
      <c r="E11" s="225"/>
      <c r="F11" s="225"/>
      <c r="G11" s="63">
        <v>4</v>
      </c>
      <c r="H11" s="64">
        <v>0</v>
      </c>
      <c r="I11" s="64">
        <v>46864</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-382163</v>
      </c>
    </row>
    <row r="14" spans="1:9" ht="12.75" customHeight="1" x14ac:dyDescent="0.2">
      <c r="A14" s="225" t="s">
        <v>176</v>
      </c>
      <c r="B14" s="225"/>
      <c r="C14" s="225"/>
      <c r="D14" s="225"/>
      <c r="E14" s="225"/>
      <c r="F14" s="225"/>
      <c r="G14" s="63">
        <v>7</v>
      </c>
      <c r="H14" s="64">
        <v>0</v>
      </c>
      <c r="I14" s="64">
        <v>56957</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f>-RDG!J57</f>
        <v>-1628447</v>
      </c>
    </row>
    <row r="18" spans="1:9" ht="28.15" customHeight="1" x14ac:dyDescent="0.2">
      <c r="A18" s="247" t="s">
        <v>306</v>
      </c>
      <c r="B18" s="247"/>
      <c r="C18" s="247"/>
      <c r="D18" s="247"/>
      <c r="E18" s="247"/>
      <c r="F18" s="247"/>
      <c r="G18" s="65">
        <v>11</v>
      </c>
      <c r="H18" s="66">
        <f>H8+H9</f>
        <v>4056975</v>
      </c>
      <c r="I18" s="66">
        <f>I8+I9</f>
        <v>-323520</v>
      </c>
    </row>
    <row r="19" spans="1:9" ht="12.75" customHeight="1" x14ac:dyDescent="0.2">
      <c r="A19" s="248" t="s">
        <v>180</v>
      </c>
      <c r="B19" s="248"/>
      <c r="C19" s="248"/>
      <c r="D19" s="248"/>
      <c r="E19" s="248"/>
      <c r="F19" s="248"/>
      <c r="G19" s="65">
        <v>12</v>
      </c>
      <c r="H19" s="66">
        <f>H20+H21+H22+H23</f>
        <v>-153508</v>
      </c>
      <c r="I19" s="66">
        <f>I20+I21+I22+I23</f>
        <v>-369892</v>
      </c>
    </row>
    <row r="20" spans="1:9" ht="12.75" customHeight="1" x14ac:dyDescent="0.2">
      <c r="A20" s="225" t="s">
        <v>181</v>
      </c>
      <c r="B20" s="225"/>
      <c r="C20" s="225"/>
      <c r="D20" s="225"/>
      <c r="E20" s="225"/>
      <c r="F20" s="225"/>
      <c r="G20" s="63">
        <v>13</v>
      </c>
      <c r="H20" s="64">
        <v>3945595</v>
      </c>
      <c r="I20" s="64">
        <v>-195570</v>
      </c>
    </row>
    <row r="21" spans="1:9" ht="12.75" customHeight="1" x14ac:dyDescent="0.2">
      <c r="A21" s="225" t="s">
        <v>182</v>
      </c>
      <c r="B21" s="225"/>
      <c r="C21" s="225"/>
      <c r="D21" s="225"/>
      <c r="E21" s="225"/>
      <c r="F21" s="225"/>
      <c r="G21" s="63">
        <v>14</v>
      </c>
      <c r="H21" s="64">
        <v>-187270</v>
      </c>
      <c r="I21" s="64">
        <v>-184522</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-3911833</v>
      </c>
      <c r="I23" s="64">
        <v>10200</v>
      </c>
    </row>
    <row r="24" spans="1:9" ht="12.75" customHeight="1" x14ac:dyDescent="0.2">
      <c r="A24" s="247" t="s">
        <v>185</v>
      </c>
      <c r="B24" s="247"/>
      <c r="C24" s="247"/>
      <c r="D24" s="247"/>
      <c r="E24" s="247"/>
      <c r="F24" s="247"/>
      <c r="G24" s="65">
        <v>17</v>
      </c>
      <c r="H24" s="66">
        <f>H18+H19</f>
        <v>3903467</v>
      </c>
      <c r="I24" s="66">
        <f>I18+I19</f>
        <v>-693412</v>
      </c>
    </row>
    <row r="25" spans="1:9" ht="12.75" customHeight="1" x14ac:dyDescent="0.2">
      <c r="A25" s="190" t="s">
        <v>186</v>
      </c>
      <c r="B25" s="190"/>
      <c r="C25" s="190"/>
      <c r="D25" s="190"/>
      <c r="E25" s="190"/>
      <c r="F25" s="190"/>
      <c r="G25" s="63">
        <v>18</v>
      </c>
      <c r="H25" s="64">
        <v>0</v>
      </c>
      <c r="I25" s="64">
        <v>-56957</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3903467</v>
      </c>
      <c r="I27" s="66">
        <f>I24+I25+I26</f>
        <v>-750369</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29559</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29559</v>
      </c>
    </row>
    <row r="36" spans="1:9" ht="22.9" customHeight="1" x14ac:dyDescent="0.2">
      <c r="A36" s="190" t="s">
        <v>197</v>
      </c>
      <c r="B36" s="190"/>
      <c r="C36" s="190"/>
      <c r="D36" s="190"/>
      <c r="E36" s="190"/>
      <c r="F36" s="190"/>
      <c r="G36" s="63">
        <v>28</v>
      </c>
      <c r="H36" s="67">
        <v>-96810</v>
      </c>
      <c r="I36" s="67">
        <v>-90618</v>
      </c>
    </row>
    <row r="37" spans="1:9" ht="12.75" customHeight="1" x14ac:dyDescent="0.2">
      <c r="A37" s="190" t="s">
        <v>198</v>
      </c>
      <c r="B37" s="190"/>
      <c r="C37" s="190"/>
      <c r="D37" s="190"/>
      <c r="E37" s="190"/>
      <c r="F37" s="190"/>
      <c r="G37" s="63">
        <v>29</v>
      </c>
      <c r="H37" s="67">
        <v>-3196803</v>
      </c>
      <c r="I37" s="67">
        <v>-4543260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-3293613</v>
      </c>
      <c r="I41" s="68">
        <f>I36+I37+I38+I39+I40</f>
        <v>-4633878</v>
      </c>
    </row>
    <row r="42" spans="1:9" ht="29.45" customHeight="1" x14ac:dyDescent="0.2">
      <c r="A42" s="252" t="s">
        <v>203</v>
      </c>
      <c r="B42" s="252"/>
      <c r="C42" s="252"/>
      <c r="D42" s="252"/>
      <c r="E42" s="252"/>
      <c r="F42" s="252"/>
      <c r="G42" s="65">
        <v>34</v>
      </c>
      <c r="H42" s="68">
        <f>H35+H41</f>
        <v>-3293613</v>
      </c>
      <c r="I42" s="68">
        <f>I35+I41</f>
        <v>-4604319</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10120000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9702</v>
      </c>
      <c r="I47" s="67">
        <v>0</v>
      </c>
    </row>
    <row r="48" spans="1:9" ht="22.15" customHeight="1" x14ac:dyDescent="0.2">
      <c r="A48" s="247" t="s">
        <v>209</v>
      </c>
      <c r="B48" s="247"/>
      <c r="C48" s="247"/>
      <c r="D48" s="247"/>
      <c r="E48" s="247"/>
      <c r="F48" s="247"/>
      <c r="G48" s="65">
        <v>39</v>
      </c>
      <c r="H48" s="68">
        <f>H44+H45+H46+H47</f>
        <v>9702</v>
      </c>
      <c r="I48" s="68">
        <f>I44+I45+I46+I47</f>
        <v>10120000</v>
      </c>
    </row>
    <row r="49" spans="1:9" ht="24.6" customHeight="1" x14ac:dyDescent="0.2">
      <c r="A49" s="190" t="s">
        <v>305</v>
      </c>
      <c r="B49" s="190"/>
      <c r="C49" s="190"/>
      <c r="D49" s="190"/>
      <c r="E49" s="190"/>
      <c r="F49" s="190"/>
      <c r="G49" s="63">
        <v>40</v>
      </c>
      <c r="H49" s="67">
        <v>-713573</v>
      </c>
      <c r="I49" s="67">
        <v>-2799469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-713573</v>
      </c>
      <c r="I54" s="68">
        <f>I49+I50+I51+I52+I53</f>
        <v>-2799469</v>
      </c>
    </row>
    <row r="55" spans="1:9" ht="29.45" customHeight="1" x14ac:dyDescent="0.2">
      <c r="A55" s="252" t="s">
        <v>215</v>
      </c>
      <c r="B55" s="252"/>
      <c r="C55" s="252"/>
      <c r="D55" s="252"/>
      <c r="E55" s="252"/>
      <c r="F55" s="252"/>
      <c r="G55" s="65">
        <v>46</v>
      </c>
      <c r="H55" s="68">
        <f>H48+H54</f>
        <v>-703871</v>
      </c>
      <c r="I55" s="68">
        <f>I48+I54</f>
        <v>7320531</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-94017</v>
      </c>
      <c r="I57" s="68">
        <f>I27+I42+I55+I56</f>
        <v>1965843</v>
      </c>
    </row>
    <row r="58" spans="1:9" x14ac:dyDescent="0.2">
      <c r="A58" s="253" t="s">
        <v>218</v>
      </c>
      <c r="B58" s="253"/>
      <c r="C58" s="253"/>
      <c r="D58" s="253"/>
      <c r="E58" s="253"/>
      <c r="F58" s="253"/>
      <c r="G58" s="63">
        <v>49</v>
      </c>
      <c r="H58" s="67">
        <v>846816</v>
      </c>
      <c r="I58" s="67">
        <v>840815</v>
      </c>
    </row>
    <row r="59" spans="1:9" ht="31.15" customHeight="1" x14ac:dyDescent="0.2">
      <c r="A59" s="252" t="s">
        <v>219</v>
      </c>
      <c r="B59" s="252"/>
      <c r="C59" s="252"/>
      <c r="D59" s="252"/>
      <c r="E59" s="252"/>
      <c r="F59" s="252"/>
      <c r="G59" s="65">
        <v>50</v>
      </c>
      <c r="H59" s="68">
        <f>H57+H58</f>
        <v>752799</v>
      </c>
      <c r="I59" s="68">
        <f>I57+I58</f>
        <v>2806658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5" zoomScaleNormal="100" zoomScaleSheetLayoutView="115" workbookViewId="0">
      <selection activeCell="O20" sqref="O2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469</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474</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v>0</v>
      </c>
      <c r="I13" s="56">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40" zoomScaleNormal="100" zoomScaleSheetLayoutView="100" workbookViewId="0">
      <selection activeCell="N20" sqref="N2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34010262</v>
      </c>
      <c r="I7" s="33">
        <v>45066335</v>
      </c>
      <c r="J7" s="33">
        <v>724863</v>
      </c>
      <c r="K7" s="33">
        <v>0</v>
      </c>
      <c r="L7" s="33">
        <v>0</v>
      </c>
      <c r="M7" s="33">
        <v>0</v>
      </c>
      <c r="N7" s="33">
        <v>712344</v>
      </c>
      <c r="O7" s="33">
        <v>0</v>
      </c>
      <c r="P7" s="33">
        <v>0</v>
      </c>
      <c r="Q7" s="33">
        <v>0</v>
      </c>
      <c r="R7" s="33">
        <v>0</v>
      </c>
      <c r="S7" s="33">
        <v>0</v>
      </c>
      <c r="T7" s="33">
        <v>0</v>
      </c>
      <c r="U7" s="33">
        <v>1915751</v>
      </c>
      <c r="V7" s="33">
        <v>4591876</v>
      </c>
      <c r="W7" s="34">
        <f>H7+I7+J7+K7-L7+M7+N7+O7+P7+Q7+R7+U7+V7+S7+T7</f>
        <v>87021431</v>
      </c>
      <c r="X7" s="33">
        <v>0</v>
      </c>
      <c r="Y7" s="34">
        <f>W7+X7</f>
        <v>87021431</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34010262</v>
      </c>
      <c r="I10" s="34">
        <f t="shared" ref="I10:Y10" si="2">I7+I8+I9</f>
        <v>45066335</v>
      </c>
      <c r="J10" s="34">
        <f t="shared" si="2"/>
        <v>724863</v>
      </c>
      <c r="K10" s="34">
        <f>K7+K8+K9</f>
        <v>0</v>
      </c>
      <c r="L10" s="34">
        <f t="shared" si="2"/>
        <v>0</v>
      </c>
      <c r="M10" s="34">
        <f t="shared" si="2"/>
        <v>0</v>
      </c>
      <c r="N10" s="34">
        <f t="shared" si="2"/>
        <v>712344</v>
      </c>
      <c r="O10" s="34">
        <f t="shared" si="2"/>
        <v>0</v>
      </c>
      <c r="P10" s="34">
        <f t="shared" si="2"/>
        <v>0</v>
      </c>
      <c r="Q10" s="34">
        <f t="shared" si="2"/>
        <v>0</v>
      </c>
      <c r="R10" s="34">
        <f t="shared" si="2"/>
        <v>0</v>
      </c>
      <c r="S10" s="34">
        <f t="shared" si="2"/>
        <v>0</v>
      </c>
      <c r="T10" s="34">
        <f t="shared" si="2"/>
        <v>0</v>
      </c>
      <c r="U10" s="34">
        <f t="shared" si="2"/>
        <v>1915751</v>
      </c>
      <c r="V10" s="34">
        <f t="shared" si="2"/>
        <v>4591876</v>
      </c>
      <c r="W10" s="34">
        <f t="shared" si="2"/>
        <v>87021431</v>
      </c>
      <c r="X10" s="34">
        <f t="shared" si="2"/>
        <v>0</v>
      </c>
      <c r="Y10" s="34">
        <f t="shared" si="2"/>
        <v>87021431</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7966161.2000000002</v>
      </c>
      <c r="W11" s="34">
        <f t="shared" ref="W11:W29" si="3">H11+I11+J11+K11-L11+M11+N11+O11+P11+Q11+R11+U11+V11+S11+T11</f>
        <v>7966161.2000000002</v>
      </c>
      <c r="X11" s="33">
        <v>0</v>
      </c>
      <c r="Y11" s="34">
        <f t="shared" ref="Y11:Y29" si="4">W11+X11</f>
        <v>7966161.2000000002</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-3924261</v>
      </c>
      <c r="V26" s="33">
        <v>0</v>
      </c>
      <c r="W26" s="34">
        <f t="shared" si="3"/>
        <v>-3924261</v>
      </c>
      <c r="X26" s="33">
        <v>0</v>
      </c>
      <c r="Y26" s="34">
        <f t="shared" si="4"/>
        <v>-3924261</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229595</v>
      </c>
      <c r="K28" s="33">
        <v>0</v>
      </c>
      <c r="L28" s="33">
        <v>0</v>
      </c>
      <c r="M28" s="33">
        <v>0</v>
      </c>
      <c r="N28" s="33">
        <v>0</v>
      </c>
      <c r="O28" s="33">
        <v>0</v>
      </c>
      <c r="P28" s="33">
        <v>0</v>
      </c>
      <c r="Q28" s="33">
        <v>0</v>
      </c>
      <c r="R28" s="33">
        <v>0</v>
      </c>
      <c r="S28" s="33">
        <v>0</v>
      </c>
      <c r="T28" s="33">
        <v>0</v>
      </c>
      <c r="U28" s="33">
        <v>4362281</v>
      </c>
      <c r="V28" s="33">
        <v>-4591876</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34010262</v>
      </c>
      <c r="I30" s="36">
        <f t="shared" ref="I30:Y30" si="5">SUM(I10:I29)</f>
        <v>45066335</v>
      </c>
      <c r="J30" s="36">
        <f t="shared" si="5"/>
        <v>954458</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2353771</v>
      </c>
      <c r="V30" s="36">
        <f t="shared" si="5"/>
        <v>7966161.1999999993</v>
      </c>
      <c r="W30" s="36">
        <f t="shared" si="5"/>
        <v>91063331.200000003</v>
      </c>
      <c r="X30" s="36">
        <f t="shared" si="5"/>
        <v>0</v>
      </c>
      <c r="Y30" s="36">
        <f t="shared" si="5"/>
        <v>91063331.200000003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7966161.2000000002</v>
      </c>
      <c r="W33" s="34">
        <f t="shared" si="8"/>
        <v>7966161.2000000002</v>
      </c>
      <c r="X33" s="34">
        <f t="shared" si="8"/>
        <v>0</v>
      </c>
      <c r="Y33" s="34">
        <f t="shared" si="8"/>
        <v>7966161.2000000002</v>
      </c>
    </row>
    <row r="34" spans="1:25" ht="30.75" customHeight="1" x14ac:dyDescent="0.2">
      <c r="A34" s="300" t="s">
        <v>427</v>
      </c>
      <c r="B34" s="300"/>
      <c r="C34" s="300"/>
      <c r="D34" s="300"/>
      <c r="E34" s="300"/>
      <c r="F34" s="300"/>
      <c r="G34" s="8">
        <v>27</v>
      </c>
      <c r="H34" s="36">
        <f>SUM(H21:H29)</f>
        <v>0</v>
      </c>
      <c r="I34" s="36">
        <f t="shared" ref="I34:Y34" si="10">SUM(I21:I29)</f>
        <v>0</v>
      </c>
      <c r="J34" s="36">
        <f t="shared" si="10"/>
        <v>229595</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438020</v>
      </c>
      <c r="V34" s="36">
        <f t="shared" si="10"/>
        <v>-4591876</v>
      </c>
      <c r="W34" s="36">
        <f t="shared" si="10"/>
        <v>-3924261</v>
      </c>
      <c r="X34" s="36">
        <f t="shared" si="10"/>
        <v>0</v>
      </c>
      <c r="Y34" s="36">
        <f t="shared" si="10"/>
        <v>-3924261</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34010262</v>
      </c>
      <c r="I36" s="33">
        <v>45066335</v>
      </c>
      <c r="J36" s="33">
        <v>954458</v>
      </c>
      <c r="K36" s="33">
        <v>0</v>
      </c>
      <c r="L36" s="33">
        <v>0</v>
      </c>
      <c r="M36" s="33">
        <v>0</v>
      </c>
      <c r="N36" s="33">
        <v>712344</v>
      </c>
      <c r="O36" s="33">
        <v>0</v>
      </c>
      <c r="P36" s="33">
        <v>0</v>
      </c>
      <c r="Q36" s="33">
        <v>0</v>
      </c>
      <c r="R36" s="33">
        <v>0</v>
      </c>
      <c r="S36" s="33">
        <v>0</v>
      </c>
      <c r="T36" s="33">
        <v>0</v>
      </c>
      <c r="U36" s="33">
        <v>2353771</v>
      </c>
      <c r="V36" s="33">
        <v>7966161</v>
      </c>
      <c r="W36" s="37">
        <f>H36+I36+J36+K36-L36+M36+N36+O36+P36+Q36+R36+U36+V36+S36+T36</f>
        <v>91063331</v>
      </c>
      <c r="X36" s="33">
        <v>0</v>
      </c>
      <c r="Y36" s="37">
        <f t="shared" ref="Y36:Y38" si="12">W36+X36</f>
        <v>91063331</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34010262</v>
      </c>
      <c r="I39" s="34">
        <f t="shared" ref="I39:Y39" si="14">I36+I37+I38</f>
        <v>45066335</v>
      </c>
      <c r="J39" s="34">
        <f t="shared" si="14"/>
        <v>954458</v>
      </c>
      <c r="K39" s="34">
        <f t="shared" si="14"/>
        <v>0</v>
      </c>
      <c r="L39" s="34">
        <f t="shared" si="14"/>
        <v>0</v>
      </c>
      <c r="M39" s="34">
        <f t="shared" si="14"/>
        <v>0</v>
      </c>
      <c r="N39" s="34">
        <f t="shared" si="14"/>
        <v>712344</v>
      </c>
      <c r="O39" s="34">
        <f t="shared" si="14"/>
        <v>0</v>
      </c>
      <c r="P39" s="34">
        <f t="shared" si="14"/>
        <v>0</v>
      </c>
      <c r="Q39" s="34">
        <f t="shared" si="14"/>
        <v>0</v>
      </c>
      <c r="R39" s="34">
        <f t="shared" si="14"/>
        <v>0</v>
      </c>
      <c r="S39" s="34">
        <f t="shared" si="14"/>
        <v>0</v>
      </c>
      <c r="T39" s="34">
        <f t="shared" si="14"/>
        <v>0</v>
      </c>
      <c r="U39" s="34">
        <f t="shared" si="14"/>
        <v>2353771</v>
      </c>
      <c r="V39" s="34">
        <f t="shared" si="14"/>
        <v>7966161</v>
      </c>
      <c r="W39" s="34">
        <f t="shared" si="14"/>
        <v>91063331</v>
      </c>
      <c r="X39" s="34">
        <f t="shared" si="14"/>
        <v>0</v>
      </c>
      <c r="Y39" s="34">
        <f t="shared" si="14"/>
        <v>91063331</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1549516</v>
      </c>
      <c r="W40" s="37">
        <f t="shared" ref="W40:W58" si="15">H40+I40+J40+K40-L40+M40+N40+O40+P40+Q40+R40+U40+V40+S40+T40</f>
        <v>1549516</v>
      </c>
      <c r="X40" s="33">
        <v>0</v>
      </c>
      <c r="Y40" s="37">
        <f t="shared" ref="Y40:Y58" si="16">W40+X40</f>
        <v>1549516</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2860000</v>
      </c>
      <c r="I54" s="33">
        <v>7260000</v>
      </c>
      <c r="J54" s="33">
        <v>0</v>
      </c>
      <c r="K54" s="33">
        <v>0</v>
      </c>
      <c r="L54" s="33">
        <v>0</v>
      </c>
      <c r="M54" s="33">
        <v>0</v>
      </c>
      <c r="N54" s="33">
        <v>0</v>
      </c>
      <c r="O54" s="33">
        <v>0</v>
      </c>
      <c r="P54" s="33">
        <v>0</v>
      </c>
      <c r="Q54" s="33">
        <v>0</v>
      </c>
      <c r="R54" s="33">
        <v>0</v>
      </c>
      <c r="S54" s="33">
        <v>0</v>
      </c>
      <c r="T54" s="33">
        <v>0</v>
      </c>
      <c r="U54" s="33">
        <v>0</v>
      </c>
      <c r="V54" s="33">
        <v>0</v>
      </c>
      <c r="W54" s="37">
        <f t="shared" si="15"/>
        <v>10120000</v>
      </c>
      <c r="X54" s="33">
        <v>0</v>
      </c>
      <c r="Y54" s="37">
        <f t="shared" si="16"/>
        <v>10120000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398308</v>
      </c>
      <c r="K57" s="33">
        <v>0</v>
      </c>
      <c r="L57" s="33">
        <v>0</v>
      </c>
      <c r="M57" s="33">
        <v>0</v>
      </c>
      <c r="N57" s="33">
        <v>0</v>
      </c>
      <c r="O57" s="33">
        <v>0</v>
      </c>
      <c r="P57" s="33">
        <v>0</v>
      </c>
      <c r="Q57" s="33">
        <v>0</v>
      </c>
      <c r="R57" s="33">
        <v>0</v>
      </c>
      <c r="S57" s="33">
        <v>0</v>
      </c>
      <c r="T57" s="33">
        <v>0</v>
      </c>
      <c r="U57" s="33">
        <f>7966161-J57</f>
        <v>7567853</v>
      </c>
      <c r="V57" s="33">
        <f>-7966161</f>
        <v>-7966161</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36870262</v>
      </c>
      <c r="I59" s="36">
        <f t="shared" ref="I59:Y59" si="17">SUM(I39:I58)</f>
        <v>52326335</v>
      </c>
      <c r="J59" s="36">
        <f t="shared" si="17"/>
        <v>1352766</v>
      </c>
      <c r="K59" s="36">
        <f t="shared" si="17"/>
        <v>0</v>
      </c>
      <c r="L59" s="36">
        <f t="shared" si="17"/>
        <v>0</v>
      </c>
      <c r="M59" s="36">
        <f t="shared" si="17"/>
        <v>0</v>
      </c>
      <c r="N59" s="36">
        <f t="shared" si="17"/>
        <v>712344</v>
      </c>
      <c r="O59" s="36">
        <f t="shared" si="17"/>
        <v>0</v>
      </c>
      <c r="P59" s="36">
        <f t="shared" si="17"/>
        <v>0</v>
      </c>
      <c r="Q59" s="36">
        <f t="shared" si="17"/>
        <v>0</v>
      </c>
      <c r="R59" s="36">
        <f t="shared" si="17"/>
        <v>0</v>
      </c>
      <c r="S59" s="36">
        <f t="shared" si="17"/>
        <v>0</v>
      </c>
      <c r="T59" s="36">
        <f t="shared" si="17"/>
        <v>0</v>
      </c>
      <c r="U59" s="36">
        <f t="shared" si="17"/>
        <v>9921624</v>
      </c>
      <c r="V59" s="36">
        <f t="shared" si="17"/>
        <v>1549516</v>
      </c>
      <c r="W59" s="36">
        <f t="shared" si="17"/>
        <v>102732847</v>
      </c>
      <c r="X59" s="36">
        <f t="shared" si="17"/>
        <v>0</v>
      </c>
      <c r="Y59" s="36">
        <f t="shared" si="17"/>
        <v>102732847</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1549516</v>
      </c>
      <c r="W62" s="37">
        <f t="shared" si="20"/>
        <v>1549516</v>
      </c>
      <c r="X62" s="37">
        <f t="shared" si="20"/>
        <v>0</v>
      </c>
      <c r="Y62" s="37">
        <f t="shared" si="20"/>
        <v>1549516</v>
      </c>
    </row>
    <row r="63" spans="1:25" ht="29.25" customHeight="1" x14ac:dyDescent="0.2">
      <c r="A63" s="300" t="s">
        <v>434</v>
      </c>
      <c r="B63" s="300"/>
      <c r="C63" s="300"/>
      <c r="D63" s="300"/>
      <c r="E63" s="300"/>
      <c r="F63" s="300"/>
      <c r="G63" s="8">
        <v>54</v>
      </c>
      <c r="H63" s="38">
        <f>SUM(H50:H58)</f>
        <v>2860000</v>
      </c>
      <c r="I63" s="38">
        <f t="shared" ref="I63:Y63" si="22">SUM(I50:I58)</f>
        <v>7260000</v>
      </c>
      <c r="J63" s="38">
        <f t="shared" si="22"/>
        <v>398308</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7567853</v>
      </c>
      <c r="V63" s="38">
        <f t="shared" si="22"/>
        <v>-7966161</v>
      </c>
      <c r="W63" s="38">
        <f t="shared" si="22"/>
        <v>10120000</v>
      </c>
      <c r="X63" s="38">
        <f t="shared" si="22"/>
        <v>0</v>
      </c>
      <c r="Y63" s="38">
        <f t="shared" si="22"/>
        <v>10120000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10"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52826D7DAB757478C3663550B44ACB7" ma:contentTypeVersion="20" ma:contentTypeDescription="Stvaranje novog dokumenta." ma:contentTypeScope="" ma:versionID="989978f358ed982a51c5466208af0625">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603c36799de90b84647b01daa5ee8208"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Oznake slika"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A41A0EB4-706B-49A7-B9AB-B10F1E89EA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2018-04-25T06:49:36Z</cp:lastPrinted>
  <dcterms:created xsi:type="dcterms:W3CDTF">2008-10-17T11:51:54Z</dcterms:created>
  <dcterms:modified xsi:type="dcterms:W3CDTF">2025-07-25T07:00:29Z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