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irast\OneDrive - Competence d.o.o\Dokumenti\IM\B) REPORT\The Bird\2025\HANFA\Q2 Report\Nekonsolidirano\"/>
    </mc:Choice>
  </mc:AlternateContent>
  <xr:revisionPtr revIDLastSave="0" documentId="13_ncr:1_{6E6FF8DD-3A23-4840-9CF2-816FBA7DF435}"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13" i="20" l="1"/>
  <c r="I25" i="20"/>
  <c r="I14" i="20"/>
  <c r="V11" i="22" l="1"/>
  <c r="I89" i="26"/>
  <c r="J89" i="26"/>
  <c r="K89" i="26"/>
  <c r="H89" i="26"/>
  <c r="I8" i="20" l="1"/>
  <c r="V40" i="22"/>
  <c r="I10" i="20"/>
  <c r="I58" i="20"/>
  <c r="U57" i="22"/>
  <c r="V57" i="22"/>
  <c r="V36" i="22"/>
  <c r="U36" i="22"/>
  <c r="H53" i="18" l="1"/>
  <c r="H60"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109" i="26" s="1"/>
  <c r="H64" i="26"/>
  <c r="I51" i="21"/>
  <c r="I53" i="21" s="1"/>
  <c r="H51" i="21"/>
  <c r="H53" i="21" s="1"/>
  <c r="I67" i="26" l="1"/>
  <c r="I68" i="26"/>
  <c r="I109" i="26" s="1"/>
  <c r="J66" i="26"/>
  <c r="J68" i="26"/>
  <c r="K67" i="26"/>
  <c r="K68" i="26"/>
  <c r="H66" i="26"/>
  <c r="H67" i="26"/>
  <c r="I85" i="18"/>
  <c r="H85" i="18"/>
  <c r="J109" i="26" l="1"/>
  <c r="W40" i="22"/>
  <c r="K109" i="26"/>
  <c r="I78" i="18"/>
  <c r="H78" i="18"/>
  <c r="H54" i="20" l="1"/>
  <c r="H48" i="20"/>
  <c r="H41" i="20"/>
  <c r="H35" i="20"/>
  <c r="H19" i="20"/>
  <c r="I9" i="20"/>
  <c r="H117" i="18"/>
  <c r="H105" i="18"/>
  <c r="H98" i="18"/>
  <c r="H94" i="18"/>
  <c r="H91"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72" i="18" l="1"/>
  <c r="H57" i="20"/>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<sst xmlns="http://schemas.openxmlformats.org/spreadsheetml/2006/main" count="535" uniqueCount="470">
  <si>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</si>
  <si>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</si>
  <si>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</si>
  <si>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</si>
  <si>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</si>
  <si>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</si>
  <si>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</si>
  <si>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</si>
  <si>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</si>
  <si>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</si>
  <si>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</si>
  <si>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</si>
  <si>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</si>
  <si>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</si>
  <si>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</si>
  <si>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</si>
  <si>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</si>
  <si>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</si>
  <si>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</si>
  <si>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</si>
  <si>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</si>
  <si>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</si>
  <si>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</si>
  <si>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</si>
  <si>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</si>
  <si>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</si>
  <si>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</si>
  <si>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</si>
  <si>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</si>
  <si>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</si>
  <si>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</si>
  <si>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</si>
  <si>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</si>
  <si>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</si>
  <si>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</si>
  <si>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</si>
  <si>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</si>
  <si>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</si>
  <si>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</si>
  <si>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</si>
  <si>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</si>
  <si>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</si>
  <si>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</si>
  <si>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</si>
  <si>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</si>
  <si>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</si>
  <si>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</si>
  <si>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</si>
  <si>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</si>
  <si>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</si>
  <si>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</si>
  <si>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</si>
  <si>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</si>
  <si>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</si>
  <si>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</si>
  <si>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</si>
  <si>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</si>
  <si>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</si>
  <si>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</si>
  <si>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</si>
  <si>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</si>
  <si>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</si>
  <si>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</si>
  <si>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</si>
  <si>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</si>
  <si>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</si>
  <si>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</si>
  <si>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</si>
  <si>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</si>
  <si>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</si>
  <si>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</si>
  <si>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</si>
  <si>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</si>
  <si>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</si>
  <si>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</si>
  <si>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</si>
  <si>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</si>
  <si>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</si>
  <si>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</si>
  <si>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</si>
  <si>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</si>
  <si>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</si>
  <si>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</si>
  <si>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</si>
  <si>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</si>
  <si>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</si>
  <si>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</si>
  <si>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</si>
  <si>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</si>
  <si>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</si>
  <si>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</si>
  <si>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</si>
  <si>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</si>
  <si>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</si>
  <si>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</si>
  <si>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</si>
  <si>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</si>
  <si>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</si>
  <si>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</si>
  <si>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</si>
  <si>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</si>
  <si>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</si>
  <si>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</si>
  <si>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</si>
  <si>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</si>
  <si>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</si>
  <si>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</si>
  <si>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</si>
  <si>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</si>
  <si>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</si>
  <si>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</si>
  <si>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</si>
  <si>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</si>
  <si>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</si>
  <si>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</si>
  <si>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</si>
  <si>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</si>
  <si>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</si>
  <si>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</si>
  <si>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</si>
  <si>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</si>
  <si>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</si>
  <si>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</si>
  <si>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</si>
  <si>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</si>
  <si>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</si>
  <si>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</si>
  <si>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</si>
  <si>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</si>
  <si>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</si>
  <si>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</si>
  <si>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</si>
  <si>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</si>
  <si>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</si>
  <si>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</si>
  <si>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</si>
  <si>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</si>
  <si>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</si>
  <si>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</si>
  <si>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</si>
  <si>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</si>
  <si>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</si>
  <si>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</si>
  <si>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</si>
  <si>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</si>
  <si>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</si>
  <si>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</si>
  <si>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</si>
  <si>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</si>
  <si>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</si>
  <si>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</si>
  <si>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</si>
  <si>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</si>
  <si>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</si>
  <si>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</si>
  <si>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</si>
  <si>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</si>
  <si>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</si>
  <si>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</si>
  <si>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</si>
  <si>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</si>
  <si>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</si>
  <si>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</si>
  <si>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</si>
  <si>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</si>
  <si>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</si>
  <si>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</si>
  <si>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</si>
  <si>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</si>
  <si>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</si>
  <si>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</si>
  <si>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</si>
  <si>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</si>
  <si>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</si>
  <si>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</si>
  <si>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</si>
  <si>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</si>
  <si>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</si>
  <si>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</si>
  <si>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</si>
  <si>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</si>
  <si>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</si>
  <si>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</si>
  <si>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</si>
  <si>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</si>
  <si>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</si>
  <si>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</si>
  <si>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</si>
  <si>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</si>
  <si>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</si>
  <si>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</si>
  <si>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</si>
  <si>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</si>
  <si>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</si>
  <si>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</si>
  <si>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</si>
  <si>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</si>
  <si>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</si>
  <si>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</si>
  <si>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</si>
  <si>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</si>
  <si>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</si>
  <si>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</si>
  <si>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</si>
  <si>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</si>
  <si>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</si>
  <si>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</si>
  <si>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</si>
  <si>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</si>
  <si>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</si>
  <si>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</si>
  <si>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</si>
  <si>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</si>
  <si>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</si>
  <si>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</si>
  <si>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</si>
  <si>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</si>
  <si>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</si>
  <si>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</si>
  <si>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</si>
  <si>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</si>
  <si>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</si>
  <si>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</si>
  <si>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</si>
  <si>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</si>
  <si>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</si>
  <si>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</si>
  <si>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</si>
  <si>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</si>
  <si>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</si>
  <si>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</si>
  <si>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</si>
  <si>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</si>
  <si>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</si>
  <si>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</si>
  <si>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</si>
  <si>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</si>
  <si>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</si>
  <si>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</si>
  <si>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</si>
  <si>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</si>
  <si>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</si>
  <si>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</si>
  <si>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</si>
  <si>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</si>
  <si>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</si>
  <si>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</si>
  <si>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</si>
  <si>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</si>
  <si>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</si>
  <si>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</si>
  <si>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</si>
  <si>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</si>
  <si>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</si>
  <si>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</si>
  <si>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</si>
  <si>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</si>
  <si>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</si>
  <si>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</si>
  <si>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</si>
  <si>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</si>
  <si>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</si>
  <si>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</si>
  <si>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</si>
  <si>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</si>
  <si>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</si>
  <si>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</si>
  <si>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</si>
  <si>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</si>
  <si>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</si>
  <si>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</si>
  <si>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</si>
  <si>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</si>
  <si>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</si>
  <si>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</si>
  <si>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</si>
  <si>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</si>
  <si>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</si>
  <si>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</si>
  <si>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</si>
  <si>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</si>
  <si>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</si>
  <si>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</si>
  <si>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</si>
  <si>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</si>
  <si>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</si>
  <si>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</si>
  <si>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</si>
  <si>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</si>
  <si>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</si>
  <si>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</si>
  <si>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</si>
  <si>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</si>
  <si>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</si>
  <si>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</si>
  <si>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</si>
  <si>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</si>
  <si>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</si>
  <si>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</si>
  <si>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</si>
  <si>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</si>
  <si>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</si>
  <si>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</si>
  <si>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</si>
  <si>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</si>
  <si>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</si>
  <si>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</si>
  <si>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</si>
  <si>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</si>
  <si>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</si>
  <si>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</si>
  <si>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</si>
  <si>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</si>
  <si>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</si>
  <si>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</si>
  <si>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</si>
  <si>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</si>
  <si>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</si>
  <si>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</si>
  <si>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</si>
  <si>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</si>
  <si>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</si>
  <si>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</si>
  <si>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</si>
  <si>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</si>
  <si>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</si>
  <si>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</si>
  <si>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</si>
  <si>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</si>
  <si>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</si>
  <si>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</si>
  <si>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</si>
  <si>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</si>
  <si>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</si>
  <si>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</si>
  <si>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</si>
  <si>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</si>
  <si>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</si>
  <si>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</si>
  <si>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</si>
  <si>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</si>
  <si>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</si>
  <si>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</si>
  <si>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</si>
  <si>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</si>
  <si>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</si>
  <si>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</si>
  <si>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</si>
  <si>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</si>
  <si>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</si>
  <si>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</si>
  <si>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</si>
  <si>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</si>
  <si>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</si>
  <si>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</si>
  <si>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</si>
  <si>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</si>
  <si>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</si>
  <si>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</si>
  <si>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</si>
  <si>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</si>
  <si>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</si>
  <si>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</si>
  <si>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</si>
  <si>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</si>
  <si>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</si>
  <si>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</si>
  <si>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</si>
  <si>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</si>
  <si>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</si>
  <si>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</si>
  <si>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</si>
  <si>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</si>
  <si>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</si>
  <si>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</si>
  <si>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</si>
  <si>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</si>
  <si>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</si>
  <si>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</si>
  <si>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</si>
  <si>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</si>
  <si>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</si>
  <si>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</si>
  <si>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</si>
  <si>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</si>
  <si>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</si>
  <si>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</si>
  <si>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</si>
  <si>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</si>
  <si>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</si>
  <si>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</si>
  <si>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</si>
  <si>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</si>
  <si>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</si>
  <si>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</si>
  <si>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</si>
  <si>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</si>
  <si>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</si>
  <si>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</si>
  <si>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</si>
  <si>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</si>
  <si>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</si>
  <si>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</si>
  <si>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</si>
  <si>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</si>
  <si>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</si>
  <si>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</si>
  <si>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</si>
  <si>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</si>
  <si>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</si>
  <si>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</si>
  <si>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</si>
  <si>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</si>
  <si>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</si>
  <si>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</si>
  <si>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</si>
  <si>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</si>
  <si>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</si>
  <si>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</si>
  <si>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</si>
  <si>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</si>
  <si>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</si>
  <si>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</si>
  <si>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</si>
  <si>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</si>
  <si>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</si>
  <si>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</si>
  <si>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</si>
  <si>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</si>
  <si>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</si>
  <si>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</si>
  <si>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</si>
  <si>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</si>
  <si>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</si>
  <si>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</si>
  <si>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</si>
  <si>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</si>
  <si>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</si>
  <si>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</si>
  <si>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</si>
  <si>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</si>
  <si>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</si>
  <si>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</si>
  <si>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</si>
  <si>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</si>
  <si>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</si>
  <si>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</si>
  <si>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</si>
  <si>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</si>
  <si>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</si>
  <si>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</si>
  <si>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</si>
  <si>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</si>
  <si>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99445</t>
  </si>
  <si>
    <t>747800M0IFOGUGS38X52</t>
  </si>
  <si>
    <t>THE GARDEN BREWERY d.d.</t>
  </si>
  <si>
    <t>ZAGREB</t>
  </si>
  <si>
    <t>SLAVONSKA AVENIJA 26/1</t>
  </si>
  <si>
    <t>info@thegarden.hr</t>
  </si>
  <si>
    <t>https://thegarden.hr</t>
  </si>
  <si>
    <t>RAST IVANA</t>
  </si>
  <si>
    <t>0989560660</t>
  </si>
  <si>
    <t>ivana.rast@competence.hr</t>
  </si>
  <si>
    <t>Obveznik:THE GARDEN BREWERY d.d.</t>
  </si>
  <si>
    <t>Obveznik: THE GARDEN BREWERY d.d.</t>
  </si>
  <si>
    <t>Competence d.o.o.</t>
  </si>
  <si>
    <t>stanje na dan 30.06.2025</t>
  </si>
  <si>
    <t>u razdoblju 01.01.2025 do 30.06.2025</t>
  </si>
  <si>
    <t xml:space="preserve">BILJEŠKE UZ FINANCIJSKE IZVJEŠTAJE - TFI
(koji se sastavljaju za tromjesečna razdoblja)
Naziv izdavatelja:  THE GARDEN BREWERY d.d.
OIB:  54394356292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</si>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</sst>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85" zoomScaleNormal="100" zoomScaleSheetLayoutView="85" workbookViewId="0">
      <selection activeCell="H9" sqref="H9"/>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row>
    <row r="3" spans="1:20" x14ac:dyDescent="0.3">
      <c r="A3" s="94"/>
      <c r="B3" s="95"/>
      <c r="C3" s="95"/>
      <c r="D3" s="95"/>
      <c r="E3" s="95"/>
      <c r="F3" s="95"/>
      <c r="G3" s="95"/>
      <c r="H3" s="95"/>
      <c r="I3" s="95"/>
      <c r="J3" s="96"/>
    </row>
    <row r="4" spans="1:20" ht="33.6" customHeight="1" x14ac:dyDescent="0.3">
      <c r="A4" s="182" t="s">
        <v>308</v>
      </c>
      <c r="B4" s="183"/>
      <c r="C4" s="183"/>
      <c r="D4" s="183"/>
      <c r="E4" s="184">
        <v>45658</v>
      </c>
      <c r="F4" s="185"/>
      <c r="G4" s="99" t="s">
        <v>0</v>
      </c>
      <c r="H4" s="184">
        <v>45838</v>
      </c>
      <c r="I4" s="185"/>
      <c r="J4" s="100"/>
    </row>
    <row r="5" spans="1:20" s="72" customFormat="1" ht="10.199999999999999" customHeight="1" x14ac:dyDescent="0.3">
      <c r="A5" s="186"/>
      <c r="B5" s="187"/>
      <c r="C5" s="187"/>
      <c r="D5" s="187"/>
      <c r="E5" s="187"/>
      <c r="F5" s="187"/>
      <c r="G5" s="187"/>
      <c r="H5" s="187"/>
      <c r="I5" s="187"/>
      <c r="J5" s="188"/>
      <c r="N5" s="73"/>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454</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453</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10000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458</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342</v>
      </c>
      <c r="D50" s="149"/>
      <c r="E50" s="150" t="s">
        <v>344</v>
      </c>
      <c r="F50" s="151"/>
      <c r="G50" s="139" t="s">
        <v>465</v>
      </c>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462</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8" zoomScale="80" zoomScaleNormal="100" zoomScaleSheetLayoutView="80" workbookViewId="0">
      <selection activeCell="I132" sqref="I13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466</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6705113</v>
      </c>
      <c r="I9" s="82">
        <f>I10+I17+I27+I38+I43</f>
        <v>6861393</v>
      </c>
    </row>
    <row r="10" spans="1:9" ht="12.75" customHeight="1" x14ac:dyDescent="0.25">
      <c r="A10" s="194" t="s">
        <v>5</v>
      </c>
      <c r="B10" s="194"/>
      <c r="C10" s="194"/>
      <c r="D10" s="194"/>
      <c r="E10" s="194"/>
      <c r="F10" s="194"/>
      <c r="G10" s="12">
        <v>3</v>
      </c>
      <c r="H10" s="82">
        <f>H11+H12+H13+H14+H15+H16</f>
        <v>0</v>
      </c>
      <c r="I10" s="82">
        <f>I11+I12+I13+I14+I15+I16</f>
        <v>0</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47850</v>
      </c>
      <c r="I17" s="82">
        <f>I18+I19+I20+I21+I22+I23+I24+I25+I26</f>
        <v>44120</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0</v>
      </c>
      <c r="I20" s="18">
        <v>0</v>
      </c>
    </row>
    <row r="21" spans="1:9" ht="12.75" customHeight="1" x14ac:dyDescent="0.25">
      <c r="A21" s="190" t="s">
        <v>16</v>
      </c>
      <c r="B21" s="190"/>
      <c r="C21" s="190"/>
      <c r="D21" s="190"/>
      <c r="E21" s="190"/>
      <c r="F21" s="190"/>
      <c r="G21" s="11">
        <v>14</v>
      </c>
      <c r="H21" s="18">
        <v>47850</v>
      </c>
      <c r="I21" s="18">
        <v>44120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6657263</v>
      </c>
      <c r="I27" s="82">
        <f>SUM(I28:I37)</f>
        <v>6817273</v>
      </c>
    </row>
    <row r="28" spans="1:9" ht="12.75" customHeight="1" x14ac:dyDescent="0.25">
      <c r="A28" s="190" t="s">
        <v>23</v>
      </c>
      <c r="B28" s="190"/>
      <c r="C28" s="190"/>
      <c r="D28" s="190"/>
      <c r="E28" s="190"/>
      <c r="F28" s="190"/>
      <c r="G28" s="11">
        <v>21</v>
      </c>
      <c r="H28" s="18">
        <v>5737782</v>
      </c>
      <c r="I28" s="18">
        <v>5737782</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30010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130000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919481</v>
      </c>
      <c r="I37" s="18">
        <v>919481</v>
      </c>
    </row>
    <row r="38" spans="1:9" ht="12.75" customHeight="1" x14ac:dyDescent="0.25">
      <c r="A38" s="194" t="s">
        <v>33</v>
      </c>
      <c r="B38" s="194"/>
      <c r="C38" s="194"/>
      <c r="D38" s="194"/>
      <c r="E38" s="194"/>
      <c r="F38" s="194"/>
      <c r="G38" s="12">
        <v>31</v>
      </c>
      <c r="H38" s="82">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1311828</v>
      </c>
      <c r="I44" s="82">
        <f>I45+I53+I60+I70</f>
        <v>3678960</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85126</v>
      </c>
      <c r="I53" s="82">
        <f>SUM(I54:I59)</f>
        <v>195444</v>
      </c>
    </row>
    <row r="54" spans="1:9" ht="12.75" customHeight="1" x14ac:dyDescent="0.25">
      <c r="A54" s="190" t="s">
        <v>48</v>
      </c>
      <c r="B54" s="190"/>
      <c r="C54" s="190"/>
      <c r="D54" s="190"/>
      <c r="E54" s="190"/>
      <c r="F54" s="190"/>
      <c r="G54" s="11">
        <v>47</v>
      </c>
      <c r="H54" s="18">
        <v>33000</v>
      </c>
      <c r="I54" s="18">
        <v>105167</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0</v>
      </c>
      <c r="I56" s="18">
        <v>0</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52065</v>
      </c>
      <c r="I58" s="18">
        <v>66654</v>
      </c>
    </row>
    <row r="59" spans="1:9" ht="12.75" customHeight="1" x14ac:dyDescent="0.25">
      <c r="A59" s="190" t="s">
        <v>53</v>
      </c>
      <c r="B59" s="190"/>
      <c r="C59" s="190"/>
      <c r="D59" s="190"/>
      <c r="E59" s="190"/>
      <c r="F59" s="190"/>
      <c r="G59" s="11">
        <v>52</v>
      </c>
      <c r="H59" s="18">
        <v>61</v>
      </c>
      <c r="I59" s="18">
        <v>23623</v>
      </c>
    </row>
    <row r="60" spans="1:9" ht="12.75" customHeight="1" x14ac:dyDescent="0.25">
      <c r="A60" s="194" t="s">
        <v>54</v>
      </c>
      <c r="B60" s="194"/>
      <c r="C60" s="194"/>
      <c r="D60" s="194"/>
      <c r="E60" s="194"/>
      <c r="F60" s="194"/>
      <c r="G60" s="12">
        <v>53</v>
      </c>
      <c r="H60" s="82">
        <f>SUM(H61:H69)</f>
        <v>0</v>
      </c>
      <c r="I60" s="82">
        <f>SUM(I61:I69)</f>
        <v>132396</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132396</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1226702</v>
      </c>
      <c r="I70" s="18">
        <v>3351120</v>
      </c>
    </row>
    <row r="71" spans="1:9" ht="12.75" customHeight="1" x14ac:dyDescent="0.25">
      <c r="A71" s="191" t="s">
        <v>58</v>
      </c>
      <c r="B71" s="191"/>
      <c r="C71" s="191"/>
      <c r="D71" s="191"/>
      <c r="E71" s="191"/>
      <c r="F71" s="191"/>
      <c r="G71" s="11">
        <v>64</v>
      </c>
      <c r="H71" s="18">
        <v>0</v>
      </c>
      <c r="I71" s="18">
        <v>0</v>
      </c>
    </row>
    <row r="72" spans="1:9" ht="12.75" customHeight="1" x14ac:dyDescent="0.25">
      <c r="A72" s="192" t="s">
        <v>304</v>
      </c>
      <c r="B72" s="192"/>
      <c r="C72" s="192"/>
      <c r="D72" s="192"/>
      <c r="E72" s="192"/>
      <c r="F72" s="192"/>
      <c r="G72" s="12">
        <v>65</v>
      </c>
      <c r="H72" s="82">
        <f>H8+H9+H44+H71</f>
        <v>8016941</v>
      </c>
      <c r="I72" s="82">
        <f>I8+I9+I44+I71</f>
        <v>10540353</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7157279</v>
      </c>
      <c r="I75" s="83">
        <f>I76+I77+I78+I84+I85+I91+I94+I97</f>
        <v>7335529</v>
      </c>
    </row>
    <row r="76" spans="1:9" ht="12.75" customHeight="1" x14ac:dyDescent="0.25">
      <c r="A76" s="190" t="s">
        <v>61</v>
      </c>
      <c r="B76" s="190"/>
      <c r="C76" s="190"/>
      <c r="D76" s="190"/>
      <c r="E76" s="190"/>
      <c r="F76" s="190"/>
      <c r="G76" s="11">
        <v>68</v>
      </c>
      <c r="H76" s="18">
        <v>5333262</v>
      </c>
      <c r="I76" s="18">
        <v>5333262</v>
      </c>
    </row>
    <row r="77" spans="1:9" ht="12.75" customHeight="1" x14ac:dyDescent="0.25">
      <c r="A77" s="190" t="s">
        <v>62</v>
      </c>
      <c r="B77" s="190"/>
      <c r="C77" s="190"/>
      <c r="D77" s="190"/>
      <c r="E77" s="190"/>
      <c r="F77" s="190"/>
      <c r="G77" s="11">
        <v>69</v>
      </c>
      <c r="H77" s="18">
        <v>29204</v>
      </c>
      <c r="I77" s="18">
        <v>29204</v>
      </c>
    </row>
    <row r="78" spans="1:9" ht="12.75" customHeight="1" x14ac:dyDescent="0.25">
      <c r="A78" s="194" t="s">
        <v>63</v>
      </c>
      <c r="B78" s="194"/>
      <c r="C78" s="194"/>
      <c r="D78" s="194"/>
      <c r="E78" s="194"/>
      <c r="F78" s="194"/>
      <c r="G78" s="12">
        <v>70</v>
      </c>
      <c r="H78" s="83">
        <f>SUM(H79:H83)</f>
        <v>268123</v>
      </c>
      <c r="I78" s="83">
        <f>SUM(I79:I83)</f>
        <v>268123</v>
      </c>
    </row>
    <row r="79" spans="1:9" ht="12.75" customHeight="1" x14ac:dyDescent="0.25">
      <c r="A79" s="190" t="s">
        <v>64</v>
      </c>
      <c r="B79" s="190"/>
      <c r="C79" s="190"/>
      <c r="D79" s="190"/>
      <c r="E79" s="190"/>
      <c r="F79" s="190"/>
      <c r="G79" s="11">
        <v>71</v>
      </c>
      <c r="H79" s="18">
        <v>268123</v>
      </c>
      <c r="I79" s="18">
        <v>268123</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825331</v>
      </c>
      <c r="I91" s="82">
        <f>I92-I93</f>
        <v>1526690</v>
      </c>
    </row>
    <row r="92" spans="1:9" ht="12.75" customHeight="1" x14ac:dyDescent="0.25">
      <c r="A92" s="190" t="s">
        <v>72</v>
      </c>
      <c r="B92" s="190"/>
      <c r="C92" s="190"/>
      <c r="D92" s="190"/>
      <c r="E92" s="190"/>
      <c r="F92" s="190"/>
      <c r="G92" s="11">
        <v>84</v>
      </c>
      <c r="H92" s="18">
        <v>825331</v>
      </c>
      <c r="I92" s="18">
        <v>1526690</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701359</v>
      </c>
      <c r="I94" s="82">
        <f>I95-I96</f>
        <v>178250</v>
      </c>
    </row>
    <row r="95" spans="1:9" ht="12.75" customHeight="1" x14ac:dyDescent="0.25">
      <c r="A95" s="190" t="s">
        <v>74</v>
      </c>
      <c r="B95" s="190"/>
      <c r="C95" s="190"/>
      <c r="D95" s="190"/>
      <c r="E95" s="190"/>
      <c r="F95" s="190"/>
      <c r="G95" s="11">
        <v>87</v>
      </c>
      <c r="H95" s="18">
        <v>701359</v>
      </c>
      <c r="I95" s="18">
        <v>178250</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113853</v>
      </c>
      <c r="I105" s="82">
        <f>SUM(I106:I116)</f>
        <v>3113853</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113853</v>
      </c>
      <c r="I111" s="18">
        <v>113853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3000000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738809</v>
      </c>
      <c r="I117" s="82">
        <f>SUM(I118:I131)</f>
        <v>90971</v>
      </c>
    </row>
    <row r="118" spans="1:9" ht="12.75" customHeight="1" x14ac:dyDescent="0.25">
      <c r="A118" s="190" t="s">
        <v>83</v>
      </c>
      <c r="B118" s="190"/>
      <c r="C118" s="190"/>
      <c r="D118" s="190"/>
      <c r="E118" s="190"/>
      <c r="F118" s="190"/>
      <c r="G118" s="11">
        <v>110</v>
      </c>
      <c r="H118" s="18">
        <v>281600</v>
      </c>
      <c r="I118" s="18">
        <v>0</v>
      </c>
    </row>
    <row r="119" spans="1:9" ht="22.2" customHeight="1" x14ac:dyDescent="0.25">
      <c r="A119" s="190" t="s">
        <v>84</v>
      </c>
      <c r="B119" s="190"/>
      <c r="C119" s="190"/>
      <c r="D119" s="190"/>
      <c r="E119" s="190"/>
      <c r="F119" s="190"/>
      <c r="G119" s="11">
        <v>111</v>
      </c>
      <c r="H119" s="18">
        <v>273604</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121286</v>
      </c>
      <c r="I123" s="18">
        <v>70410</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3990</v>
      </c>
      <c r="I125" s="18">
        <v>17086</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1365</v>
      </c>
      <c r="I127" s="18">
        <v>1160</v>
      </c>
    </row>
    <row r="128" spans="1:9" x14ac:dyDescent="0.25">
      <c r="A128" s="190" t="s">
        <v>95</v>
      </c>
      <c r="B128" s="190"/>
      <c r="C128" s="190"/>
      <c r="D128" s="190"/>
      <c r="E128" s="190"/>
      <c r="F128" s="190"/>
      <c r="G128" s="11">
        <v>120</v>
      </c>
      <c r="H128" s="18">
        <v>6524</v>
      </c>
      <c r="I128" s="18">
        <v>1875</v>
      </c>
    </row>
    <row r="129" spans="1:9" x14ac:dyDescent="0.25">
      <c r="A129" s="190" t="s">
        <v>96</v>
      </c>
      <c r="B129" s="190"/>
      <c r="C129" s="190"/>
      <c r="D129" s="190"/>
      <c r="E129" s="190"/>
      <c r="F129" s="190"/>
      <c r="G129" s="11">
        <v>121</v>
      </c>
      <c r="H129" s="18">
        <v>440</v>
      </c>
      <c r="I129" s="18">
        <v>440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50000</v>
      </c>
      <c r="I131" s="18">
        <v>0</v>
      </c>
    </row>
    <row r="132" spans="1:9" ht="22.2" customHeight="1" x14ac:dyDescent="0.25">
      <c r="A132" s="191" t="s">
        <v>99</v>
      </c>
      <c r="B132" s="191"/>
      <c r="C132" s="191"/>
      <c r="D132" s="191"/>
      <c r="E132" s="191"/>
      <c r="F132" s="191"/>
      <c r="G132" s="11">
        <v>124</v>
      </c>
      <c r="H132" s="18">
        <v>7000</v>
      </c>
      <c r="I132" s="18">
        <v>0</v>
      </c>
    </row>
    <row r="133" spans="1:9" ht="12.75" customHeight="1" x14ac:dyDescent="0.25">
      <c r="A133" s="192" t="s">
        <v>358</v>
      </c>
      <c r="B133" s="192"/>
      <c r="C133" s="192"/>
      <c r="D133" s="192"/>
      <c r="E133" s="192"/>
      <c r="F133" s="192"/>
      <c r="G133" s="12">
        <v>125</v>
      </c>
      <c r="H133" s="82">
        <f>H75+H98+H105+H117+H132</f>
        <v>8016941</v>
      </c>
      <c r="I133" s="82">
        <f>I75+I98+I105+I117+I132</f>
        <v>10540353</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H89" sqref="H89:K89"/>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464</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499333</v>
      </c>
      <c r="I8" s="48">
        <f>SUM(I9:I13)</f>
        <v>470466</v>
      </c>
      <c r="J8" s="48">
        <f>SUM(J9:J13)</f>
        <v>339333</v>
      </c>
      <c r="K8" s="48">
        <f>SUM(K9:K13)</f>
        <v>310466</v>
      </c>
    </row>
    <row r="9" spans="1:11" ht="12.75" customHeight="1" x14ac:dyDescent="0.25">
      <c r="A9" s="190" t="s">
        <v>115</v>
      </c>
      <c r="B9" s="190"/>
      <c r="C9" s="190"/>
      <c r="D9" s="190"/>
      <c r="E9" s="190"/>
      <c r="F9" s="190"/>
      <c r="G9" s="11">
        <v>2</v>
      </c>
      <c r="H9" s="49">
        <v>57733</v>
      </c>
      <c r="I9" s="49">
        <v>28866</v>
      </c>
      <c r="J9" s="49">
        <v>57733</v>
      </c>
      <c r="K9" s="49">
        <v>28866</v>
      </c>
    </row>
    <row r="10" spans="1:11" ht="12.75" customHeight="1" x14ac:dyDescent="0.25">
      <c r="A10" s="190" t="s">
        <v>116</v>
      </c>
      <c r="B10" s="190"/>
      <c r="C10" s="190"/>
      <c r="D10" s="190"/>
      <c r="E10" s="190"/>
      <c r="F10" s="190"/>
      <c r="G10" s="11">
        <v>3</v>
      </c>
      <c r="H10" s="49">
        <v>0</v>
      </c>
      <c r="I10" s="49">
        <v>0</v>
      </c>
      <c r="J10" s="49">
        <v>0</v>
      </c>
      <c r="K10" s="49">
        <v>0</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441600</v>
      </c>
      <c r="I12" s="49">
        <v>441600</v>
      </c>
      <c r="J12" s="49">
        <v>281600</v>
      </c>
      <c r="K12" s="49">
        <v>281600</v>
      </c>
    </row>
    <row r="13" spans="1:11" ht="12.75" customHeight="1" x14ac:dyDescent="0.25">
      <c r="A13" s="190" t="s">
        <v>119</v>
      </c>
      <c r="B13" s="190"/>
      <c r="C13" s="190"/>
      <c r="D13" s="190"/>
      <c r="E13" s="190"/>
      <c r="F13" s="190"/>
      <c r="G13" s="11">
        <v>6</v>
      </c>
      <c r="H13" s="49">
        <v>0</v>
      </c>
      <c r="I13" s="49">
        <v>0</v>
      </c>
      <c r="J13" s="49">
        <v>0</v>
      </c>
      <c r="K13" s="49">
        <v>0</v>
      </c>
    </row>
    <row r="14" spans="1:11" ht="12.75" customHeight="1" x14ac:dyDescent="0.25">
      <c r="A14" s="221" t="s">
        <v>360</v>
      </c>
      <c r="B14" s="221"/>
      <c r="C14" s="221"/>
      <c r="D14" s="221"/>
      <c r="E14" s="221"/>
      <c r="F14" s="221"/>
      <c r="G14" s="12">
        <v>7</v>
      </c>
      <c r="H14" s="48">
        <f>H15+H16+H20+H24+H25+H26+H29+H36</f>
        <v>87474</v>
      </c>
      <c r="I14" s="48">
        <f>I15+I16+I20+I24+I25+I26+I29+I36</f>
        <v>42294</v>
      </c>
      <c r="J14" s="48">
        <f>J15+J16+J20+J24+J25+J26+J29+J36</f>
        <v>150674</v>
      </c>
      <c r="K14" s="48">
        <f>K15+K16+K20+K24+K25+K26+K29+K36</f>
        <v>104226</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57642</v>
      </c>
      <c r="I16" s="48">
        <f>SUM(I17:I19)</f>
        <v>26528</v>
      </c>
      <c r="J16" s="48">
        <f>SUM(J17:J19)</f>
        <v>77047</v>
      </c>
      <c r="K16" s="48">
        <f>SUM(K17:K19)</f>
        <v>40754</v>
      </c>
    </row>
    <row r="17" spans="1:11" ht="12.75" customHeight="1" x14ac:dyDescent="0.25">
      <c r="A17" s="224" t="s">
        <v>120</v>
      </c>
      <c r="B17" s="224"/>
      <c r="C17" s="224"/>
      <c r="D17" s="224"/>
      <c r="E17" s="224"/>
      <c r="F17" s="224"/>
      <c r="G17" s="11">
        <v>10</v>
      </c>
      <c r="H17" s="49">
        <v>0</v>
      </c>
      <c r="I17" s="49">
        <v>0</v>
      </c>
      <c r="J17" s="49">
        <v>688</v>
      </c>
      <c r="K17" s="49">
        <v>0</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57642</v>
      </c>
      <c r="I19" s="49">
        <v>26528</v>
      </c>
      <c r="J19" s="49">
        <v>76359</v>
      </c>
      <c r="K19" s="49">
        <v>40754</v>
      </c>
    </row>
    <row r="20" spans="1:11" ht="12.75" customHeight="1" x14ac:dyDescent="0.25">
      <c r="A20" s="194" t="s">
        <v>441</v>
      </c>
      <c r="B20" s="194"/>
      <c r="C20" s="194"/>
      <c r="D20" s="194"/>
      <c r="E20" s="194"/>
      <c r="F20" s="194"/>
      <c r="G20" s="12">
        <v>13</v>
      </c>
      <c r="H20" s="48">
        <f>SUM(H21:H23)</f>
        <v>22621</v>
      </c>
      <c r="I20" s="48">
        <f>SUM(I21:I23)</f>
        <v>11311</v>
      </c>
      <c r="J20" s="48">
        <f>SUM(J21:J23)</f>
        <v>14732</v>
      </c>
      <c r="K20" s="48">
        <f>SUM(K21:K23)</f>
        <v>7472</v>
      </c>
    </row>
    <row r="21" spans="1:11" ht="12.75" customHeight="1" x14ac:dyDescent="0.25">
      <c r="A21" s="224" t="s">
        <v>105</v>
      </c>
      <c r="B21" s="224"/>
      <c r="C21" s="224"/>
      <c r="D21" s="224"/>
      <c r="E21" s="224"/>
      <c r="F21" s="224"/>
      <c r="G21" s="11">
        <v>14</v>
      </c>
      <c r="H21" s="49">
        <v>12480</v>
      </c>
      <c r="I21" s="49">
        <v>6240</v>
      </c>
      <c r="J21" s="49">
        <v>6192</v>
      </c>
      <c r="K21" s="49">
        <v>3168</v>
      </c>
    </row>
    <row r="22" spans="1:11" ht="12.75" customHeight="1" x14ac:dyDescent="0.25">
      <c r="A22" s="224" t="s">
        <v>106</v>
      </c>
      <c r="B22" s="224"/>
      <c r="C22" s="224"/>
      <c r="D22" s="224"/>
      <c r="E22" s="224"/>
      <c r="F22" s="224"/>
      <c r="G22" s="11">
        <v>15</v>
      </c>
      <c r="H22" s="49">
        <v>6937</v>
      </c>
      <c r="I22" s="49">
        <v>3469</v>
      </c>
      <c r="J22" s="49">
        <v>5963</v>
      </c>
      <c r="K22" s="49">
        <v>3000</v>
      </c>
    </row>
    <row r="23" spans="1:11" ht="12.75" customHeight="1" x14ac:dyDescent="0.25">
      <c r="A23" s="224" t="s">
        <v>107</v>
      </c>
      <c r="B23" s="224"/>
      <c r="C23" s="224"/>
      <c r="D23" s="224"/>
      <c r="E23" s="224"/>
      <c r="F23" s="224"/>
      <c r="G23" s="11">
        <v>16</v>
      </c>
      <c r="H23" s="49">
        <v>3204</v>
      </c>
      <c r="I23" s="49">
        <v>1602</v>
      </c>
      <c r="J23" s="49">
        <v>2577</v>
      </c>
      <c r="K23" s="49">
        <v>1304</v>
      </c>
    </row>
    <row r="24" spans="1:11" ht="12.75" customHeight="1" x14ac:dyDescent="0.25">
      <c r="A24" s="190" t="s">
        <v>108</v>
      </c>
      <c r="B24" s="190"/>
      <c r="C24" s="190"/>
      <c r="D24" s="190"/>
      <c r="E24" s="190"/>
      <c r="F24" s="190"/>
      <c r="G24" s="11">
        <v>17</v>
      </c>
      <c r="H24" s="49">
        <v>0</v>
      </c>
      <c r="I24" s="49">
        <v>0</v>
      </c>
      <c r="J24" s="49">
        <v>3730</v>
      </c>
      <c r="K24" s="49">
        <v>1865</v>
      </c>
    </row>
    <row r="25" spans="1:11" ht="12.75" customHeight="1" x14ac:dyDescent="0.25">
      <c r="A25" s="190" t="s">
        <v>109</v>
      </c>
      <c r="B25" s="190"/>
      <c r="C25" s="190"/>
      <c r="D25" s="190"/>
      <c r="E25" s="190"/>
      <c r="F25" s="190"/>
      <c r="G25" s="11">
        <v>18</v>
      </c>
      <c r="H25" s="49">
        <v>7211</v>
      </c>
      <c r="I25" s="49">
        <v>4455</v>
      </c>
      <c r="J25" s="49">
        <v>55010</v>
      </c>
      <c r="K25" s="49">
        <v>53980</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0</v>
      </c>
      <c r="I36" s="49">
        <v>0</v>
      </c>
      <c r="J36" s="49">
        <v>155</v>
      </c>
      <c r="K36" s="49">
        <v>155</v>
      </c>
    </row>
    <row r="37" spans="1:11" ht="12.75" customHeight="1" x14ac:dyDescent="0.25">
      <c r="A37" s="221" t="s">
        <v>361</v>
      </c>
      <c r="B37" s="221"/>
      <c r="C37" s="221"/>
      <c r="D37" s="221"/>
      <c r="E37" s="221"/>
      <c r="F37" s="221"/>
      <c r="G37" s="12">
        <v>30</v>
      </c>
      <c r="H37" s="48">
        <f>SUM(H38:H47)</f>
        <v>749</v>
      </c>
      <c r="I37" s="48">
        <f>SUM(I38:I47)</f>
        <v>0</v>
      </c>
      <c r="J37" s="48">
        <f>SUM(J38:J47)</f>
        <v>1</v>
      </c>
      <c r="K37" s="48">
        <f>SUM(K38:K47)</f>
        <v>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749</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1</v>
      </c>
      <c r="K44" s="49">
        <v>0</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7068</v>
      </c>
      <c r="I48" s="48">
        <f>SUM(I49:I55)</f>
        <v>3447</v>
      </c>
      <c r="J48" s="48">
        <f>SUM(J49:J55)</f>
        <v>10410</v>
      </c>
      <c r="K48" s="48">
        <f>SUM(K49:K55)</f>
        <v>9332</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7068</v>
      </c>
      <c r="I51" s="49">
        <v>3447</v>
      </c>
      <c r="J51" s="49">
        <v>10410</v>
      </c>
      <c r="K51" s="49">
        <v>9332</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500082</v>
      </c>
      <c r="I60" s="48">
        <f t="shared" ref="I60:K60" si="0">I8+I37+I56+I57</f>
        <v>470466</v>
      </c>
      <c r="J60" s="48">
        <f t="shared" si="0"/>
        <v>339334</v>
      </c>
      <c r="K60" s="48">
        <f t="shared" si="0"/>
        <v>310466</v>
      </c>
    </row>
    <row r="61" spans="1:11" ht="12.75" customHeight="1" x14ac:dyDescent="0.25">
      <c r="A61" s="221" t="s">
        <v>364</v>
      </c>
      <c r="B61" s="221"/>
      <c r="C61" s="221"/>
      <c r="D61" s="221"/>
      <c r="E61" s="221"/>
      <c r="F61" s="221"/>
      <c r="G61" s="12">
        <v>54</v>
      </c>
      <c r="H61" s="48">
        <f>H14+H48+H58+H59</f>
        <v>94542</v>
      </c>
      <c r="I61" s="48">
        <f t="shared" ref="I61:K61" si="1">I14+I48+I58+I59</f>
        <v>45741</v>
      </c>
      <c r="J61" s="48">
        <f t="shared" si="1"/>
        <v>161084</v>
      </c>
      <c r="K61" s="48">
        <f t="shared" si="1"/>
        <v>113558</v>
      </c>
    </row>
    <row r="62" spans="1:11" ht="12.75" customHeight="1" x14ac:dyDescent="0.25">
      <c r="A62" s="221" t="s">
        <v>365</v>
      </c>
      <c r="B62" s="221"/>
      <c r="C62" s="221"/>
      <c r="D62" s="221"/>
      <c r="E62" s="221"/>
      <c r="F62" s="221"/>
      <c r="G62" s="12">
        <v>55</v>
      </c>
      <c r="H62" s="48">
        <f>H60-H61</f>
        <v>405540</v>
      </c>
      <c r="I62" s="48">
        <f t="shared" ref="I62:K62" si="2">I60-I61</f>
        <v>424725</v>
      </c>
      <c r="J62" s="48">
        <f t="shared" si="2"/>
        <v>178250</v>
      </c>
      <c r="K62" s="48">
        <f t="shared" si="2"/>
        <v>196908</v>
      </c>
    </row>
    <row r="63" spans="1:11" ht="12.75" customHeight="1" x14ac:dyDescent="0.25">
      <c r="A63" s="222" t="s">
        <v>366</v>
      </c>
      <c r="B63" s="222"/>
      <c r="C63" s="222"/>
      <c r="D63" s="222"/>
      <c r="E63" s="222"/>
      <c r="F63" s="222"/>
      <c r="G63" s="12">
        <v>56</v>
      </c>
      <c r="H63" s="48">
        <f>+IF((H60-H61)&gt;0,(H60-H61),0)</f>
        <v>405540</v>
      </c>
      <c r="I63" s="48">
        <f t="shared" ref="I63:K63" si="3">+IF((I60-I61)&gt;0,(I60-I61),0)</f>
        <v>424725</v>
      </c>
      <c r="J63" s="48">
        <f t="shared" si="3"/>
        <v>178250</v>
      </c>
      <c r="K63" s="48">
        <f t="shared" si="3"/>
        <v>196908</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0</v>
      </c>
      <c r="I65" s="49">
        <v>0</v>
      </c>
      <c r="J65" s="49">
        <v>0</v>
      </c>
      <c r="K65" s="49">
        <v>0</v>
      </c>
    </row>
    <row r="66" spans="1:11" ht="12.75" customHeight="1" x14ac:dyDescent="0.25">
      <c r="A66" s="221" t="s">
        <v>368</v>
      </c>
      <c r="B66" s="221"/>
      <c r="C66" s="221"/>
      <c r="D66" s="221"/>
      <c r="E66" s="221"/>
      <c r="F66" s="221"/>
      <c r="G66" s="12">
        <v>59</v>
      </c>
      <c r="H66" s="48">
        <f>H62-H65</f>
        <v>405540</v>
      </c>
      <c r="I66" s="48">
        <f t="shared" ref="I66:K66" si="5">I62-I65</f>
        <v>424725</v>
      </c>
      <c r="J66" s="48">
        <f t="shared" si="5"/>
        <v>178250</v>
      </c>
      <c r="K66" s="48">
        <f t="shared" si="5"/>
        <v>196908</v>
      </c>
    </row>
    <row r="67" spans="1:11" ht="12.75" customHeight="1" x14ac:dyDescent="0.25">
      <c r="A67" s="222" t="s">
        <v>369</v>
      </c>
      <c r="B67" s="222"/>
      <c r="C67" s="222"/>
      <c r="D67" s="222"/>
      <c r="E67" s="222"/>
      <c r="F67" s="222"/>
      <c r="G67" s="12">
        <v>60</v>
      </c>
      <c r="H67" s="48">
        <f>+IF((H62-H65)&gt;0,(H62-H65),0)</f>
        <v>405540</v>
      </c>
      <c r="I67" s="48">
        <f t="shared" ref="I67:K67" si="6">+IF((I62-I65)&gt;0,(I62-I65),0)</f>
        <v>424725</v>
      </c>
      <c r="J67" s="48">
        <f t="shared" si="6"/>
        <v>178250</v>
      </c>
      <c r="K67" s="48">
        <f t="shared" si="6"/>
        <v>196908</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f>H66</f>
        <v>405540</v>
      </c>
      <c r="I89" s="52">
        <f t="shared" ref="I89:K89" si="8">I66</f>
        <v>424725</v>
      </c>
      <c r="J89" s="52">
        <f t="shared" si="8"/>
        <v>178250</v>
      </c>
      <c r="K89" s="52">
        <f t="shared" si="8"/>
        <v>196908</v>
      </c>
    </row>
    <row r="90" spans="1:11" ht="24" customHeight="1" x14ac:dyDescent="0.25">
      <c r="A90" s="192" t="s">
        <v>437</v>
      </c>
      <c r="B90" s="192"/>
      <c r="C90" s="192"/>
      <c r="D90" s="192"/>
      <c r="E90" s="192"/>
      <c r="F90" s="192"/>
      <c r="G90" s="12">
        <v>79</v>
      </c>
      <c r="H90" s="69">
        <f>H91+H98</f>
        <v>0</v>
      </c>
      <c r="I90" s="69">
        <f>I91+I98</f>
        <v>0</v>
      </c>
      <c r="J90" s="69">
        <f t="shared" ref="J90:K90" si="9">J91+J98</f>
        <v>0</v>
      </c>
      <c r="K90" s="69">
        <f t="shared" si="9"/>
        <v>0</v>
      </c>
    </row>
    <row r="91" spans="1:11" ht="24" customHeight="1" x14ac:dyDescent="0.25">
      <c r="A91" s="212" t="s">
        <v>444</v>
      </c>
      <c r="B91" s="212"/>
      <c r="C91" s="212"/>
      <c r="D91" s="212"/>
      <c r="E91" s="212"/>
      <c r="F91" s="212"/>
      <c r="G91" s="12">
        <v>80</v>
      </c>
      <c r="H91" s="69">
        <f>SUM(H92:H96)</f>
        <v>0</v>
      </c>
      <c r="I91" s="69">
        <f>SUM(I92:I96)</f>
        <v>0</v>
      </c>
      <c r="J91" s="69">
        <f t="shared" ref="J91:K91" si="10">SUM(J92:J96)</f>
        <v>0</v>
      </c>
      <c r="K91" s="69">
        <f t="shared" si="10"/>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1">SUM(J99:J106)</f>
        <v>0</v>
      </c>
      <c r="K98" s="69">
        <f t="shared" si="11"/>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2">J91+J98-J107-J97</f>
        <v>0</v>
      </c>
      <c r="K108" s="69">
        <f t="shared" si="12"/>
        <v>0</v>
      </c>
    </row>
    <row r="109" spans="1:11" ht="12.75" customHeight="1" x14ac:dyDescent="0.25">
      <c r="A109" s="192" t="s">
        <v>393</v>
      </c>
      <c r="B109" s="192"/>
      <c r="C109" s="192"/>
      <c r="D109" s="192"/>
      <c r="E109" s="192"/>
      <c r="F109" s="192"/>
      <c r="G109" s="12">
        <v>98</v>
      </c>
      <c r="H109" s="51">
        <f>H89+H108</f>
        <v>405540</v>
      </c>
      <c r="I109" s="51">
        <f>I89+I108</f>
        <v>424725</v>
      </c>
      <c r="J109" s="51">
        <f t="shared" ref="J109:K109" si="13">J89+J108</f>
        <v>178250</v>
      </c>
      <c r="K109" s="51">
        <f t="shared" si="13"/>
        <v>196908</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I12" sqref="I1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469</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464</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405540</v>
      </c>
      <c r="I8" s="64">
        <f>RDG!J67</f>
        <v>178250</v>
      </c>
    </row>
    <row r="9" spans="1:9" ht="12.75" customHeight="1" x14ac:dyDescent="0.25">
      <c r="A9" s="245" t="s">
        <v>171</v>
      </c>
      <c r="B9" s="245"/>
      <c r="C9" s="245"/>
      <c r="D9" s="245"/>
      <c r="E9" s="245"/>
      <c r="F9" s="245"/>
      <c r="G9" s="65">
        <v>2</v>
      </c>
      <c r="H9" s="66">
        <f>H10+H11+H12+H13+H14+H15+H16+H17</f>
        <v>-442349</v>
      </c>
      <c r="I9" s="66">
        <f>I10+I11+I12+I13+I14+I15+I16+I17</f>
        <v>-267460</v>
      </c>
    </row>
    <row r="10" spans="1:9" ht="12.75" customHeight="1" x14ac:dyDescent="0.25">
      <c r="A10" s="224" t="s">
        <v>172</v>
      </c>
      <c r="B10" s="224"/>
      <c r="C10" s="224"/>
      <c r="D10" s="224"/>
      <c r="E10" s="224"/>
      <c r="F10" s="224"/>
      <c r="G10" s="63">
        <v>3</v>
      </c>
      <c r="H10" s="64">
        <v>0</v>
      </c>
      <c r="I10" s="64">
        <f>RDG!J24</f>
        <v>3730</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-442349</v>
      </c>
      <c r="I13" s="64">
        <f>-RDG!K12</f>
        <v>-281600</v>
      </c>
    </row>
    <row r="14" spans="1:9" ht="12.75" customHeight="1" x14ac:dyDescent="0.25">
      <c r="A14" s="224" t="s">
        <v>176</v>
      </c>
      <c r="B14" s="224"/>
      <c r="C14" s="224"/>
      <c r="D14" s="224"/>
      <c r="E14" s="224"/>
      <c r="F14" s="224"/>
      <c r="G14" s="63">
        <v>7</v>
      </c>
      <c r="H14" s="64">
        <v>0</v>
      </c>
      <c r="I14" s="64">
        <f>RDG!J51</f>
        <v>10410</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-36809</v>
      </c>
      <c r="I18" s="66">
        <f>I8+I9</f>
        <v>-89210</v>
      </c>
    </row>
    <row r="19" spans="1:9" ht="12.75" customHeight="1" x14ac:dyDescent="0.25">
      <c r="A19" s="245" t="s">
        <v>180</v>
      </c>
      <c r="B19" s="245"/>
      <c r="C19" s="245"/>
      <c r="D19" s="245"/>
      <c r="E19" s="245"/>
      <c r="F19" s="245"/>
      <c r="G19" s="65">
        <v>12</v>
      </c>
      <c r="H19" s="66">
        <f>H20+H21+H22+H23</f>
        <v>-104005</v>
      </c>
      <c r="I19" s="66">
        <f>I20+I21+I22+I23</f>
        <v>-90501</v>
      </c>
    </row>
    <row r="20" spans="1:9" ht="12.75" customHeight="1" x14ac:dyDescent="0.25">
      <c r="A20" s="224" t="s">
        <v>181</v>
      </c>
      <c r="B20" s="224"/>
      <c r="C20" s="224"/>
      <c r="D20" s="224"/>
      <c r="E20" s="224"/>
      <c r="F20" s="224"/>
      <c r="G20" s="63">
        <v>13</v>
      </c>
      <c r="H20" s="64">
        <v>-17267</v>
      </c>
      <c r="I20" s="64">
        <v>12914</v>
      </c>
    </row>
    <row r="21" spans="1:9" ht="12.75" customHeight="1" x14ac:dyDescent="0.25">
      <c r="A21" s="224" t="s">
        <v>182</v>
      </c>
      <c r="B21" s="224"/>
      <c r="C21" s="224"/>
      <c r="D21" s="224"/>
      <c r="E21" s="224"/>
      <c r="F21" s="224"/>
      <c r="G21" s="63">
        <v>14</v>
      </c>
      <c r="H21" s="64">
        <v>-84988</v>
      </c>
      <c r="I21" s="64">
        <v>-96415</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-1750</v>
      </c>
      <c r="I23" s="64">
        <v>-7000</v>
      </c>
    </row>
    <row r="24" spans="1:9" ht="12.75" customHeight="1" x14ac:dyDescent="0.25">
      <c r="A24" s="241" t="s">
        <v>185</v>
      </c>
      <c r="B24" s="241"/>
      <c r="C24" s="241"/>
      <c r="D24" s="241"/>
      <c r="E24" s="241"/>
      <c r="F24" s="241"/>
      <c r="G24" s="65">
        <v>17</v>
      </c>
      <c r="H24" s="66">
        <f>H18+H19</f>
        <v>-140814</v>
      </c>
      <c r="I24" s="66">
        <f>I18+I19</f>
        <v>-179711</v>
      </c>
    </row>
    <row r="25" spans="1:9" ht="12.75" customHeight="1" x14ac:dyDescent="0.25">
      <c r="A25" s="190" t="s">
        <v>186</v>
      </c>
      <c r="B25" s="190"/>
      <c r="C25" s="190"/>
      <c r="D25" s="190"/>
      <c r="E25" s="190"/>
      <c r="F25" s="190"/>
      <c r="G25" s="63">
        <v>18</v>
      </c>
      <c r="H25" s="64">
        <v>0</v>
      </c>
      <c r="I25" s="64">
        <f>-I14</f>
        <v>-10410</v>
      </c>
    </row>
    <row r="26" spans="1:9" ht="12.75" customHeight="1" x14ac:dyDescent="0.25">
      <c r="A26" s="190" t="s">
        <v>187</v>
      </c>
      <c r="B26" s="190"/>
      <c r="C26" s="190"/>
      <c r="D26" s="190"/>
      <c r="E26" s="190"/>
      <c r="F26" s="190"/>
      <c r="G26" s="63">
        <v>19</v>
      </c>
      <c r="H26" s="64">
        <v>-11143</v>
      </c>
      <c r="I26" s="64">
        <v>-18575</v>
      </c>
    </row>
    <row r="27" spans="1:9" ht="25.95" customHeight="1" x14ac:dyDescent="0.25">
      <c r="A27" s="242" t="s">
        <v>188</v>
      </c>
      <c r="B27" s="242"/>
      <c r="C27" s="242"/>
      <c r="D27" s="242"/>
      <c r="E27" s="242"/>
      <c r="F27" s="242"/>
      <c r="G27" s="65">
        <v>20</v>
      </c>
      <c r="H27" s="66">
        <f>H24+H25+H26</f>
        <v>-151957</v>
      </c>
      <c r="I27" s="66">
        <f>I24+I25+I26</f>
        <v>-208696</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50000</v>
      </c>
      <c r="I33" s="67">
        <v>112000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50000</v>
      </c>
      <c r="I35" s="68">
        <f>I29+I30+I31+I32+I33+I34</f>
        <v>112000</v>
      </c>
    </row>
    <row r="36" spans="1:9" ht="22.95" customHeight="1" x14ac:dyDescent="0.25">
      <c r="A36" s="190" t="s">
        <v>197</v>
      </c>
      <c r="B36" s="190"/>
      <c r="C36" s="190"/>
      <c r="D36" s="190"/>
      <c r="E36" s="190"/>
      <c r="F36" s="190"/>
      <c r="G36" s="63">
        <v>28</v>
      </c>
      <c r="H36" s="67">
        <v>-52202</v>
      </c>
      <c r="I36" s="67">
        <v>0</v>
      </c>
    </row>
    <row r="37" spans="1:9" ht="12.75" customHeight="1" x14ac:dyDescent="0.25">
      <c r="A37" s="190" t="s">
        <v>198</v>
      </c>
      <c r="B37" s="190"/>
      <c r="C37" s="190"/>
      <c r="D37" s="190"/>
      <c r="E37" s="190"/>
      <c r="F37" s="190"/>
      <c r="G37" s="63">
        <v>29</v>
      </c>
      <c r="H37" s="67">
        <v>-46536</v>
      </c>
      <c r="I37" s="67">
        <v>-80010</v>
      </c>
    </row>
    <row r="38" spans="1:9" ht="12.75" customHeight="1" x14ac:dyDescent="0.25">
      <c r="A38" s="190" t="s">
        <v>199</v>
      </c>
      <c r="B38" s="190"/>
      <c r="C38" s="190"/>
      <c r="D38" s="190"/>
      <c r="E38" s="190"/>
      <c r="F38" s="190"/>
      <c r="G38" s="63">
        <v>30</v>
      </c>
      <c r="H38" s="67">
        <v>-200000</v>
      </c>
      <c r="I38" s="67">
        <v>-374396</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-298738</v>
      </c>
      <c r="I41" s="68">
        <f>I36+I37+I38+I39+I40</f>
        <v>-454406</v>
      </c>
    </row>
    <row r="42" spans="1:9" ht="29.4" customHeight="1" x14ac:dyDescent="0.25">
      <c r="A42" s="242" t="s">
        <v>203</v>
      </c>
      <c r="B42" s="242"/>
      <c r="C42" s="242"/>
      <c r="D42" s="242"/>
      <c r="E42" s="242"/>
      <c r="F42" s="242"/>
      <c r="G42" s="65">
        <v>34</v>
      </c>
      <c r="H42" s="68">
        <f>H35+H41</f>
        <v>-248738</v>
      </c>
      <c r="I42" s="68">
        <f>I35+I41</f>
        <v>-342406</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3000000</v>
      </c>
    </row>
    <row r="46" spans="1:9" ht="12.75" customHeight="1" x14ac:dyDescent="0.25">
      <c r="A46" s="190" t="s">
        <v>207</v>
      </c>
      <c r="B46" s="190"/>
      <c r="C46" s="190"/>
      <c r="D46" s="190"/>
      <c r="E46" s="190"/>
      <c r="F46" s="190"/>
      <c r="G46" s="63">
        <v>37</v>
      </c>
      <c r="H46" s="67">
        <v>43256</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43256</v>
      </c>
      <c r="I48" s="68">
        <f>I44+I45+I46+I47</f>
        <v>3000000</v>
      </c>
    </row>
    <row r="49" spans="1:9" ht="24.6" customHeight="1" x14ac:dyDescent="0.25">
      <c r="A49" s="190" t="s">
        <v>305</v>
      </c>
      <c r="B49" s="190"/>
      <c r="C49" s="190"/>
      <c r="D49" s="190"/>
      <c r="E49" s="190"/>
      <c r="F49" s="190"/>
      <c r="G49" s="63">
        <v>40</v>
      </c>
      <c r="H49" s="67">
        <v>-49184</v>
      </c>
      <c r="I49" s="67">
        <v>-322215</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-2265</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-49184</v>
      </c>
      <c r="I54" s="68">
        <f>I49+I50+I51+I52+I53</f>
        <v>-324480</v>
      </c>
    </row>
    <row r="55" spans="1:9" ht="29.4" customHeight="1" x14ac:dyDescent="0.25">
      <c r="A55" s="242" t="s">
        <v>215</v>
      </c>
      <c r="B55" s="242"/>
      <c r="C55" s="242"/>
      <c r="D55" s="242"/>
      <c r="E55" s="242"/>
      <c r="F55" s="242"/>
      <c r="G55" s="65">
        <v>46</v>
      </c>
      <c r="H55" s="68">
        <f>H48+H54</f>
        <v>-5928</v>
      </c>
      <c r="I55" s="68">
        <f>I48+I54</f>
        <v>2675520</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-406623</v>
      </c>
      <c r="I57" s="68">
        <f>I27+I42+I55+I56</f>
        <v>2124418</v>
      </c>
    </row>
    <row r="58" spans="1:9" x14ac:dyDescent="0.25">
      <c r="A58" s="244" t="s">
        <v>218</v>
      </c>
      <c r="B58" s="244"/>
      <c r="C58" s="244"/>
      <c r="D58" s="244"/>
      <c r="E58" s="244"/>
      <c r="F58" s="244"/>
      <c r="G58" s="63">
        <v>49</v>
      </c>
      <c r="H58" s="67">
        <v>1163627</v>
      </c>
      <c r="I58" s="67">
        <f>Bilanca!H70</f>
        <v>1226702</v>
      </c>
    </row>
    <row r="59" spans="1:9" ht="31.2" customHeight="1" x14ac:dyDescent="0.25">
      <c r="A59" s="242" t="s">
        <v>219</v>
      </c>
      <c r="B59" s="242"/>
      <c r="C59" s="242"/>
      <c r="D59" s="242"/>
      <c r="E59" s="242"/>
      <c r="F59" s="242"/>
      <c r="G59" s="65">
        <v>50</v>
      </c>
      <c r="H59" s="68">
        <f>H57+H58</f>
        <v>757004</v>
      </c>
      <c r="I59" s="68">
        <f>I57+I58</f>
        <v>3351120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0" zoomScaleNormal="100" zoomScaleSheetLayoutView="80" workbookViewId="0">
      <selection activeCell="H52" sqref="H52: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Y30" sqref="Y3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45838</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5333262</v>
      </c>
      <c r="I7" s="33">
        <v>29204</v>
      </c>
      <c r="J7" s="33">
        <v>268123</v>
      </c>
      <c r="K7" s="33">
        <v>0</v>
      </c>
      <c r="L7" s="33">
        <v>0</v>
      </c>
      <c r="M7" s="33">
        <v>0</v>
      </c>
      <c r="N7" s="33">
        <v>0</v>
      </c>
      <c r="O7" s="33">
        <v>0</v>
      </c>
      <c r="P7" s="33">
        <v>0</v>
      </c>
      <c r="Q7" s="33">
        <v>0</v>
      </c>
      <c r="R7" s="33">
        <v>0</v>
      </c>
      <c r="S7" s="33">
        <v>0</v>
      </c>
      <c r="T7" s="33">
        <v>0</v>
      </c>
      <c r="U7" s="33">
        <v>607348</v>
      </c>
      <c r="V7" s="33">
        <v>622019</v>
      </c>
      <c r="W7" s="34">
        <f>H7+I7+J7+K7-L7+M7+N7+O7+P7+Q7+R7+U7+V7+S7+T7</f>
        <v>6859956</v>
      </c>
      <c r="X7" s="33">
        <v>0</v>
      </c>
      <c r="Y7" s="34">
        <f>W7+X7</f>
        <v>6859956</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5333262</v>
      </c>
      <c r="I10" s="34">
        <f t="shared" ref="I10:Y10" si="2">I7+I8+I9</f>
        <v>29204</v>
      </c>
      <c r="J10" s="34">
        <f t="shared" si="2"/>
        <v>268123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607348</v>
      </c>
      <c r="V10" s="34">
        <f t="shared" si="2"/>
        <v>622019</v>
      </c>
      <c r="W10" s="34">
        <f t="shared" si="2"/>
        <v>6859956</v>
      </c>
      <c r="X10" s="34">
        <f t="shared" si="2"/>
        <v>0</v>
      </c>
      <c r="Y10" s="34">
        <f t="shared" si="2"/>
        <v>6859956</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f>RDG!H67</f>
        <v>405540</v>
      </c>
      <c r="W11" s="34">
        <f t="shared" ref="W11:W29" si="3">H11+I11+J11+K11-L11+M11+N11+O11+P11+Q11+R11+U11+V11+S11+T11</f>
        <v>405540</v>
      </c>
      <c r="X11" s="33">
        <v>0</v>
      </c>
      <c r="Y11" s="34">
        <f t="shared" ref="Y11:Y29" si="4">W11+X11</f>
        <v>405540</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-404035</v>
      </c>
      <c r="W27" s="34">
        <f t="shared" si="3"/>
        <v>-404035</v>
      </c>
      <c r="X27" s="33">
        <v>0</v>
      </c>
      <c r="Y27" s="34">
        <f t="shared" si="4"/>
        <v>-404035</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217984</v>
      </c>
      <c r="V28" s="33">
        <v>-217984</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5333262</v>
      </c>
      <c r="I30" s="36">
        <f t="shared" ref="I30:Y30" si="5">SUM(I10:I29)</f>
        <v>29204</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825332</v>
      </c>
      <c r="V30" s="36">
        <f t="shared" si="5"/>
        <v>405540</v>
      </c>
      <c r="W30" s="36">
        <f t="shared" si="5"/>
        <v>6861461</v>
      </c>
      <c r="X30" s="36">
        <f t="shared" si="5"/>
        <v>0</v>
      </c>
      <c r="Y30" s="36">
        <f t="shared" si="5"/>
        <v>6861461</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405540</v>
      </c>
      <c r="W33" s="34">
        <f t="shared" si="8"/>
        <v>405540</v>
      </c>
      <c r="X33" s="34">
        <f t="shared" si="8"/>
        <v>0</v>
      </c>
      <c r="Y33" s="34">
        <f t="shared" si="8"/>
        <v>405540</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217984</v>
      </c>
      <c r="V34" s="36">
        <f t="shared" si="10"/>
        <v>-622019</v>
      </c>
      <c r="W34" s="36">
        <f t="shared" si="10"/>
        <v>-404035</v>
      </c>
      <c r="X34" s="36">
        <f t="shared" si="10"/>
        <v>0</v>
      </c>
      <c r="Y34" s="36">
        <f t="shared" si="10"/>
        <v>-404035</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5333262</v>
      </c>
      <c r="I36" s="33">
        <v>29204</v>
      </c>
      <c r="J36" s="33">
        <v>268123</v>
      </c>
      <c r="K36" s="33">
        <v>0</v>
      </c>
      <c r="L36" s="33">
        <v>0</v>
      </c>
      <c r="M36" s="33">
        <v>0</v>
      </c>
      <c r="N36" s="33">
        <v>0</v>
      </c>
      <c r="O36" s="33">
        <v>0</v>
      </c>
      <c r="P36" s="33">
        <v>0</v>
      </c>
      <c r="Q36" s="33">
        <v>0</v>
      </c>
      <c r="R36" s="33">
        <v>0</v>
      </c>
      <c r="S36" s="33">
        <v>0</v>
      </c>
      <c r="T36" s="33">
        <v>0</v>
      </c>
      <c r="U36" s="33">
        <f>Bilanca!H92</f>
        <v>825331</v>
      </c>
      <c r="V36" s="33">
        <f>Bilanca!H95</f>
        <v>701359</v>
      </c>
      <c r="W36" s="37">
        <f>H36+I36+J36+K36-L36+M36+N36+O36+P36+Q36+R36+U36+V36+S36+T36</f>
        <v>7157279</v>
      </c>
      <c r="X36" s="33">
        <v>0</v>
      </c>
      <c r="Y36" s="37">
        <f t="shared" ref="Y36:Y38" si="12">W36+X36</f>
        <v>7157279</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825331</v>
      </c>
      <c r="V39" s="34">
        <f t="shared" si="14"/>
        <v>701359</v>
      </c>
      <c r="W39" s="34">
        <f t="shared" si="14"/>
        <v>7157279</v>
      </c>
      <c r="X39" s="34">
        <f t="shared" si="14"/>
        <v>0</v>
      </c>
      <c r="Y39" s="34">
        <f t="shared" si="14"/>
        <v>7157279</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RDG!J67</f>
        <v>178250</v>
      </c>
      <c r="W40" s="37">
        <f t="shared" ref="W40:W58" si="15">H40+I40+J40+K40-L40+M40+N40+O40+P40+Q40+R40+U40+V40+S40+T40</f>
        <v>178250</v>
      </c>
      <c r="X40" s="33">
        <v>0</v>
      </c>
      <c r="Y40" s="37">
        <f t="shared" ref="Y40:Y58" si="16">W40+X40</f>
        <v>178250</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f>-V57</f>
        <v>701359</v>
      </c>
      <c r="V57" s="33">
        <f>-V36</f>
        <v>-701359</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1526690</v>
      </c>
      <c r="V59" s="36">
        <f t="shared" si="17"/>
        <v>178250</v>
      </c>
      <c r="W59" s="36">
        <f t="shared" si="17"/>
        <v>7335529</v>
      </c>
      <c r="X59" s="36">
        <f t="shared" si="17"/>
        <v>0</v>
      </c>
      <c r="Y59" s="36">
        <f t="shared" si="17"/>
        <v>7335529</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178250</v>
      </c>
      <c r="W62" s="37">
        <f t="shared" si="20"/>
        <v>178250</v>
      </c>
      <c r="X62" s="37">
        <f t="shared" si="20"/>
        <v>0</v>
      </c>
      <c r="Y62" s="37">
        <f t="shared" si="20"/>
        <v>178250</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701359</v>
      </c>
      <c r="V63" s="38">
        <f t="shared" si="22"/>
        <v>-701359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A41" sqref="A41"/>
    </sheetView>
  </sheetViews>
  <sheetFormatPr defaultRowHeight="13.2" x14ac:dyDescent="0.25"/>
  <cols>
    <col min="9" max="9" width="95" customWidth="1"/>
  </cols>
  <sheetData>
    <row r="1" spans="1:9"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2025-07-28T15:42:50Z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