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20" yWindow="-120" windowWidth="19440" windowHeight="13290"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26" l="1"/>
  <c r="I107" i="18" l="1"/>
  <c r="I106" i="18"/>
  <c r="H78" i="18" l="1"/>
  <c r="I78" i="18"/>
  <c r="I75" i="18" s="1"/>
  <c r="H85" i="18"/>
  <c r="H75" i="18" s="1"/>
  <c r="H133" i="18" s="1"/>
  <c r="I85" i="18"/>
  <c r="H91" i="18"/>
  <c r="I91" i="18"/>
  <c r="H94" i="18"/>
  <c r="I96" i="18"/>
  <c r="I94" i="18" s="1"/>
  <c r="H98" i="18"/>
  <c r="I98" i="18"/>
  <c r="H105" i="18"/>
  <c r="I105" i="18"/>
  <c r="I110" i="18"/>
  <c r="I113" i="18"/>
  <c r="I115" i="18"/>
  <c r="H117" i="18"/>
  <c r="I118" i="18"/>
  <c r="I119" i="18"/>
  <c r="I122" i="18"/>
  <c r="I125" i="18"/>
  <c r="I117" i="18" s="1"/>
  <c r="I127" i="18"/>
  <c r="I128" i="18"/>
  <c r="I131" i="18"/>
  <c r="I132" i="18"/>
  <c r="I133" i="18" l="1"/>
  <c r="I69" i="18"/>
  <c r="I54" i="18"/>
  <c r="I26" i="18"/>
  <c r="I23" i="18"/>
  <c r="I24" i="18"/>
  <c r="I46" i="18" l="1"/>
  <c r="I50" i="18"/>
  <c r="I71" i="18"/>
  <c r="I58" i="18"/>
  <c r="I59" i="18"/>
  <c r="I57" i="18"/>
  <c r="I56" i="18"/>
  <c r="I68" i="18"/>
  <c r="I67" i="18"/>
  <c r="I63" i="18"/>
  <c r="I70" i="18"/>
  <c r="I37" i="18"/>
  <c r="I30" i="18"/>
  <c r="I28" i="18"/>
  <c r="I21" i="18"/>
  <c r="I20" i="18"/>
  <c r="I19" i="18"/>
  <c r="I18" i="18"/>
  <c r="I12" i="18"/>
  <c r="K36" i="26"/>
  <c r="K55" i="26"/>
  <c r="K54" i="26"/>
  <c r="K51" i="26"/>
  <c r="K49" i="26"/>
  <c r="K25" i="26"/>
  <c r="K24" i="26"/>
  <c r="K23" i="26"/>
  <c r="K22" i="26"/>
  <c r="K21" i="26"/>
  <c r="K19" i="26"/>
  <c r="K17" i="26"/>
  <c r="K44" i="26"/>
  <c r="K10" i="26"/>
  <c r="K13" i="26"/>
  <c r="K40" i="26" l="1"/>
  <c r="J51" i="26"/>
  <c r="J50" i="26"/>
  <c r="J49" i="26"/>
  <c r="J25" i="26"/>
  <c r="J24" i="26" l="1"/>
  <c r="J23" i="26"/>
  <c r="J22" i="26"/>
  <c r="J21" i="26"/>
  <c r="J19" i="26"/>
  <c r="J17" i="26"/>
  <c r="J10" i="26"/>
  <c r="J13" i="26"/>
  <c r="J12" i="26"/>
  <c r="J44" i="26"/>
  <c r="J40" i="26"/>
  <c r="J9" i="26"/>
  <c r="H45" i="18" l="1"/>
  <c r="I36" i="26"/>
  <c r="I52" i="26"/>
  <c r="I51" i="26"/>
  <c r="I50" i="26"/>
  <c r="I49" i="26"/>
  <c r="I25" i="26"/>
  <c r="I24" i="26"/>
  <c r="I23" i="26"/>
  <c r="I22" i="26"/>
  <c r="I21" i="26"/>
  <c r="I19" i="26"/>
  <c r="I17" i="26"/>
  <c r="I13" i="26"/>
  <c r="I9" i="26"/>
  <c r="I10" i="26"/>
  <c r="I44" i="26"/>
  <c r="I40" i="26"/>
  <c r="J98" i="26" l="1"/>
  <c r="K98" i="26"/>
  <c r="I98" i="26"/>
  <c r="H98" i="26"/>
  <c r="J91" i="26"/>
  <c r="K91" i="26"/>
  <c r="I91" i="26"/>
  <c r="H91" i="26"/>
  <c r="K90" i="26" l="1"/>
  <c r="J108" i="26"/>
  <c r="H108" i="26"/>
  <c r="K108" i="26"/>
  <c r="J90" i="26"/>
  <c r="I108" i="26"/>
  <c r="I109" i="26" s="1"/>
  <c r="I90" i="26"/>
  <c r="H90" i="26"/>
  <c r="S61" i="22"/>
  <c r="S62" i="22" s="1"/>
  <c r="T61" i="22"/>
  <c r="T62" i="22" s="1"/>
  <c r="S63" i="22"/>
  <c r="T63" i="22"/>
  <c r="S32" i="22"/>
  <c r="S33" i="22" s="1"/>
  <c r="T32" i="22"/>
  <c r="T33" i="22" s="1"/>
  <c r="S34" i="22"/>
  <c r="T34" i="22"/>
  <c r="W41" i="22"/>
  <c r="W43" i="22"/>
  <c r="W45" i="22"/>
  <c r="W46" i="22"/>
  <c r="W47" i="22"/>
  <c r="W48" i="22"/>
  <c r="W49"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14" i="26"/>
  <c r="J61" i="26" s="1"/>
  <c r="J60" i="26"/>
  <c r="I14" i="26"/>
  <c r="I61" i="26" s="1"/>
  <c r="I60" i="26"/>
  <c r="K60" i="26"/>
  <c r="H60" i="26"/>
  <c r="H14" i="26"/>
  <c r="H61" i="26" s="1"/>
  <c r="I21" i="21"/>
  <c r="H36" i="21"/>
  <c r="I36" i="21"/>
  <c r="H49" i="21"/>
  <c r="I49" i="21"/>
  <c r="I62" i="26" l="1"/>
  <c r="I68" i="26" s="1"/>
  <c r="K64" i="26"/>
  <c r="K62" i="26"/>
  <c r="K67" i="26" s="1"/>
  <c r="K63" i="26"/>
  <c r="J64" i="26"/>
  <c r="J63" i="26"/>
  <c r="J62" i="26"/>
  <c r="J66" i="26" s="1"/>
  <c r="H63" i="26"/>
  <c r="I64" i="26"/>
  <c r="I63" i="26"/>
  <c r="H62" i="26"/>
  <c r="H66" i="26" s="1"/>
  <c r="H64" i="26"/>
  <c r="I51" i="21"/>
  <c r="I53" i="21" s="1"/>
  <c r="H51" i="21"/>
  <c r="H53" i="21" s="1"/>
  <c r="I67" i="26" l="1"/>
  <c r="I66" i="26"/>
  <c r="K66" i="26"/>
  <c r="K68" i="26"/>
  <c r="J67" i="26"/>
  <c r="J68" i="26"/>
  <c r="H67" i="26"/>
  <c r="H68" i="26"/>
  <c r="H54" i="20" l="1"/>
  <c r="H48" i="20"/>
  <c r="H41" i="20"/>
  <c r="H35" i="20"/>
  <c r="H19" i="20"/>
  <c r="I9" i="20"/>
  <c r="H60" i="18"/>
  <c r="H53" i="18"/>
  <c r="H38" i="18"/>
  <c r="H27" i="18"/>
  <c r="H17" i="18"/>
  <c r="H10" i="18"/>
  <c r="H63" i="22"/>
  <c r="H61" i="22"/>
  <c r="H62" i="22" s="1"/>
  <c r="H39" i="22"/>
  <c r="H59" i="22" s="1"/>
  <c r="H34" i="22"/>
  <c r="H32" i="22"/>
  <c r="H33" i="22" s="1"/>
  <c r="K10" i="22"/>
  <c r="H44" i="18" l="1"/>
  <c r="H42" i="20"/>
  <c r="H55" i="20"/>
  <c r="H9"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60" i="18"/>
  <c r="I53" i="18"/>
  <c r="I45" i="18"/>
  <c r="I38" i="18"/>
  <c r="I27" i="18"/>
  <c r="I17" i="18"/>
  <c r="I10" i="18"/>
  <c r="H57" i="20" l="1"/>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<sst xmlns="http://schemas.openxmlformats.org/spreadsheetml/2006/main" count="537" uniqueCount="470">
  <si>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</si>
  <si>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</si>
  <si>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</si>
  <si>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</si>
  <si>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</si>
  <si>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</si>
  <si>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</si>
  <si>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</si>
  <si>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</si>
  <si>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</si>
  <si>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</si>
  <si>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</si>
  <si>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</si>
  <si>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</si>
  <si>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</si>
  <si>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</si>
  <si>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</si>
  <si>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</si>
  <si>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</si>
  <si>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</si>
  <si>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</si>
  <si>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</si>
  <si>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</si>
  <si>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</si>
  <si>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</si>
  <si>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</si>
  <si>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</si>
  <si>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</si>
  <si>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</si>
  <si>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</si>
  <si>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</si>
  <si>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</si>
  <si>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</si>
  <si>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</si>
  <si>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</si>
  <si>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</si>
  <si>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</si>
  <si>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</si>
  <si>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</si>
  <si>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</si>
  <si>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</si>
  <si>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</si>
  <si>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</si>
  <si>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</si>
  <si>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</si>
  <si>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</si>
  <si>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</si>
  <si>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</si>
  <si>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</si>
  <si>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</si>
  <si>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</si>
  <si>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</si>
  <si>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</si>
  <si>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</si>
  <si>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</si>
  <si>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</si>
  <si>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</si>
  <si>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</si>
  <si>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</si>
  <si>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</si>
  <si>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</si>
  <si>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</si>
  <si>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</si>
  <si>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</si>
  <si>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</si>
  <si>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</si>
  <si>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</si>
  <si>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</si>
  <si>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</si>
  <si>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</si>
  <si>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</si>
  <si>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</si>
  <si>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</si>
  <si>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</si>
  <si>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</si>
  <si>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</si>
  <si>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</si>
  <si>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</si>
  <si>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</si>
  <si>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</si>
  <si>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</si>
  <si>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</si>
  <si>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</si>
  <si>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</si>
  <si>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</si>
  <si>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</si>
  <si>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</si>
  <si>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</si>
  <si>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</si>
  <si>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</si>
  <si>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</si>
  <si>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</si>
  <si>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</si>
  <si>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</si>
  <si>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</si>
  <si>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</si>
  <si>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</si>
  <si>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</si>
  <si>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</si>
  <si>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</si>
  <si>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</si>
  <si>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</si>
  <si>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</si>
  <si>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</si>
  <si>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</si>
  <si>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</si>
  <si>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</si>
  <si>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</si>
  <si>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</si>
  <si>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</si>
  <si>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</si>
  <si>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</si>
  <si>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</si>
  <si>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</si>
  <si>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</si>
  <si>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</si>
  <si>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</si>
  <si>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</si>
  <si>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</si>
  <si>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</si>
  <si>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</si>
  <si>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</si>
  <si>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</si>
  <si>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</si>
  <si>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</si>
  <si>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</si>
  <si>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</si>
  <si>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</si>
  <si>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</si>
  <si>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</si>
  <si>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</si>
  <si>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</si>
  <si>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</si>
  <si>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</si>
  <si>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</si>
  <si>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</si>
  <si>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</si>
  <si>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</si>
  <si>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</si>
  <si>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</si>
  <si>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</si>
  <si>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</si>
  <si>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</si>
  <si>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</si>
  <si>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</si>
  <si>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</si>
  <si>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</si>
  <si>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</si>
  <si>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</si>
  <si>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</si>
  <si>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</si>
  <si>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</si>
  <si>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</si>
  <si>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</si>
  <si>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</si>
  <si>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</si>
  <si>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</si>
  <si>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</si>
  <si>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</si>
  <si>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</si>
  <si>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</si>
  <si>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</si>
  <si>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</si>
  <si>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</si>
  <si>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</si>
  <si>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</si>
  <si>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</si>
  <si>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</si>
  <si>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</si>
  <si>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</si>
  <si>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</si>
  <si>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</si>
  <si>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</si>
  <si>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</si>
  <si>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</si>
  <si>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</si>
  <si>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</si>
  <si>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</si>
  <si>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</si>
  <si>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</si>
  <si>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</si>
  <si>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</si>
  <si>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</si>
  <si>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</si>
  <si>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</si>
  <si>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</si>
  <si>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</si>
  <si>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</si>
  <si>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</si>
  <si>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</si>
  <si>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</si>
  <si>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</si>
  <si>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</si>
  <si>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</si>
  <si>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</si>
  <si>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</si>
  <si>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</si>
  <si>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</si>
  <si>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</si>
  <si>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</si>
  <si>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</si>
  <si>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</si>
  <si>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</si>
  <si>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</si>
  <si>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</si>
  <si>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</si>
  <si>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</si>
  <si>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</si>
  <si>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</si>
  <si>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</si>
  <si>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</si>
  <si>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</si>
  <si>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</si>
  <si>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</si>
  <si>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</si>
  <si>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</si>
  <si>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</si>
  <si>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</si>
  <si>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</si>
  <si>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</si>
  <si>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</si>
  <si>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</si>
  <si>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</si>
  <si>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</si>
  <si>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</si>
  <si>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</si>
  <si>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</si>
  <si>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</si>
  <si>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</si>
  <si>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</si>
  <si>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</si>
  <si>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</si>
  <si>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</si>
  <si>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</si>
  <si>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</si>
  <si>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</si>
  <si>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</si>
  <si>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</si>
  <si>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</si>
  <si>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</si>
  <si>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</si>
  <si>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</si>
  <si>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</si>
  <si>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</si>
  <si>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</si>
  <si>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</si>
  <si>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</si>
  <si>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</si>
  <si>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</si>
  <si>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</si>
  <si>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</si>
  <si>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</si>
  <si>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</si>
  <si>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</si>
  <si>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</si>
  <si>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</si>
  <si>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</si>
  <si>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</si>
  <si>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</si>
  <si>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</si>
  <si>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</si>
  <si>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</si>
  <si>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</si>
  <si>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</si>
  <si>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</si>
  <si>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</si>
  <si>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</si>
  <si>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</si>
  <si>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</si>
  <si>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</si>
  <si>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</si>
  <si>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</si>
  <si>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</si>
  <si>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</si>
  <si>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</si>
  <si>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</si>
  <si>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</si>
  <si>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</si>
  <si>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</si>
  <si>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</si>
  <si>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</si>
  <si>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</si>
  <si>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</si>
  <si>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</si>
  <si>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</si>
  <si>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</si>
  <si>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</si>
  <si>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</si>
  <si>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</si>
  <si>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</si>
  <si>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</si>
  <si>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</si>
  <si>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</si>
  <si>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</si>
  <si>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</si>
  <si>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</si>
  <si>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</si>
  <si>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</si>
  <si>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</si>
  <si>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</si>
  <si>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</si>
  <si>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</si>
  <si>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</si>
  <si>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</si>
  <si>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</si>
  <si>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</si>
  <si>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</si>
  <si>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</si>
  <si>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</si>
  <si>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</si>
  <si>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</si>
  <si>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</si>
  <si>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</si>
  <si>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</si>
  <si>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</si>
  <si>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</si>
  <si>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</si>
  <si>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</si>
  <si>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</si>
  <si>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</si>
  <si>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</si>
  <si>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</si>
  <si>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</si>
  <si>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</si>
  <si>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</si>
  <si>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</si>
  <si>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</si>
  <si>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</si>
  <si>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</si>
  <si>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</si>
  <si>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</si>
  <si>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</si>
  <si>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</si>
  <si>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</si>
  <si>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</si>
  <si>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</si>
  <si>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</si>
  <si>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</si>
  <si>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</si>
  <si>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</si>
  <si>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</si>
  <si>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</si>
  <si>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</si>
  <si>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</si>
  <si>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</si>
  <si>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</si>
  <si>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</si>
  <si>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</si>
  <si>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</si>
  <si>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</si>
  <si>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</si>
  <si>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</si>
  <si>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</si>
  <si>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</si>
  <si>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</si>
  <si>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</si>
  <si>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</si>
  <si>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</si>
  <si>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</si>
  <si>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</si>
  <si>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</si>
  <si>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</si>
  <si>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</si>
  <si>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</si>
  <si>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</si>
  <si>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</si>
  <si>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</si>
  <si>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</si>
  <si>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</si>
  <si>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</si>
  <si>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</si>
  <si>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</si>
  <si>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</si>
  <si>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</si>
  <si>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</si>
  <si>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</si>
  <si>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</si>
  <si>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</si>
  <si>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</si>
  <si>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</si>
  <si>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</si>
  <si>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</si>
  <si>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</si>
  <si>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</si>
  <si>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</si>
  <si>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</si>
  <si>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</si>
  <si>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</si>
  <si>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</si>
  <si>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</si>
  <si>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</si>
  <si>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</si>
  <si>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</si>
  <si>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</si>
  <si>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</si>
  <si>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</si>
  <si>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</si>
  <si>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</si>
  <si>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</si>
  <si>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</si>
  <si>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</si>
  <si>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</si>
  <si>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</si>
  <si>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</si>
  <si>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</si>
  <si>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</si>
  <si>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</si>
  <si>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</si>
  <si>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</si>
  <si>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</si>
  <si>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</si>
  <si>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</si>
  <si>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</si>
  <si>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</si>
  <si>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</si>
  <si>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</si>
  <si>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</si>
  <si>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</si>
  <si>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</si>
  <si>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</si>
  <si>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</si>
  <si>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</si>
  <si>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</si>
  <si>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</si>
  <si>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</si>
  <si>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</si>
  <si>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</si>
  <si>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</si>
  <si>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</si>
  <si>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</si>
  <si>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</si>
  <si>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</si>
  <si>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</si>
  <si>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</si>
  <si>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</si>
  <si>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</si>
  <si>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</si>
  <si>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</si>
  <si>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</si>
  <si>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</si>
  <si>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</si>
  <si>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</si>
  <si>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</si>
  <si>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</si>
  <si>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</si>
  <si>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</si>
  <si>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</si>
  <si>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</si>
  <si>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Knjigovodstv.servis:</t>
  </si>
  <si>
    <t>03517292</t>
  </si>
  <si>
    <t>HR</t>
  </si>
  <si>
    <t>060004761</t>
  </si>
  <si>
    <t>51177655549</t>
  </si>
  <si>
    <t>7478000090XHCRVTBU35</t>
  </si>
  <si>
    <t>1618</t>
  </si>
  <si>
    <t>JELSA d.d.</t>
  </si>
  <si>
    <t>Jelsa</t>
  </si>
  <si>
    <t>Jelsa 246</t>
  </si>
  <si>
    <t>OSS TOURS d.o.o.</t>
  </si>
  <si>
    <t>Petar Radić</t>
  </si>
  <si>
    <t>021/761-754</t>
  </si>
  <si>
    <t>ŠIBENSKI REVICON d.o.o.</t>
  </si>
  <si>
    <t>Radovan Lucić</t>
  </si>
  <si>
    <t>Obveznik: JELSA d.d. za hotelijerstvo</t>
  </si>
  <si>
    <t>stanje na dan 31.12.2021.</t>
  </si>
  <si>
    <t>u razdoblju 1.1.2021. do 31.12.2021.</t>
  </si>
  <si>
    <t xml:space="preserve">BILJEŠKE UZ FINANCIJSKE IZVJEŠTAJE - TFI
(koji se sastavljaju za tromjesečna razdoblja)
Naziv izdavatelja:   JELSA d.d. za hotelijerstvo
OIB:   51177655549
Izvještajno razdoblje: 1.1.-31.12.2021.
Financijski izvještaji sastavljeni su u skladu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Društva. Financijski izvještaji pripremljeni su po načelu povijesnog troška te na principu vremenske neograničenosti poslovanja. 
Nekretnine, postrojenja i oprema početno se iskazuju po trošku nabave, a kasnije umanjenom za ispravak vrijednosti i akumulirane gubitke od umanjenja vrijednosti. Amortizacija se obračunava primjenom linearne metode na temelju procijenjenog vijeka uporabe sredstva.                                                                     
Društvo ima ovisna društva koja nisu konsolidirana u financijskom izvještaju Društva jer se pripremaju posebni konsolidirani financijski izvještaji za Grupu. 
Ulaganja u nekonsolidirana ovisna društva vrednuju se u odvojenim financijskim izvještajima po trošku .
Društvo je jamac za ispunjenje obveza Dalmacia Holiday kft, Budimpešta, Mađarska u korist RBA bank zrt., Budimpešta, Mađarska u visini zaloga 21.524.970,87 EUR, uvećano za kamate, naknade i ostale troškove. 
Nisu stvorena rezerviranja po jamstvu.
Po ocjeni uprave, vrijednost drugog Društva, izdvojenog iz grupacije u postupku namirenja, prelazi vrijednost navedene obaveze.
Društvo je 22.ožujka 2017. godine sklopilo Predstečajnu nagodbu pred Trgovačkim sudom u Splitu (1.St-59/2016) te je u tijeku izvršavanje obveza sukladno potpisanoj nagodbi, pri čemu je od 2020. god., zbog poznatih razloga vezanih uz pandemiju Covid-19, dinamika izvršenja obveza, u odnosu na predviđenu planom, donekle usporena.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tadašnji većinski vlasnik društva.
U prvom kvartalu 2021. ponovno je došlo do vlasničke transformacije, te je većinski dioničar postao EUROBRIDGE MEDICAL INNOVATION Kft, sa sjedištem u Mađarskoj, Budimpešta. S tim u svezi, Skupština Društva imenovala je i novi Nadzorni dobor. Društvo vodi nekoliko sudskih sporova vezano za međusobna potraživanja i obveze nastale unutar nekadašnje grupe društava.
Tekuće poslovanje se odvijalo uobičajeno do ožujka 2020., kada su se pojavili problemi zbog pandemije virusa COVID-19, ali kotninuiranim praćenjem situacije, usklađivanjem troškova sa prihodima, Društvo je uglavnom uspjelo, uz manje oscilacije, očuvati stabilnost poslovanja. Rezultati poslovanja grupe u sezoni 2021., koji su kao i kod ostalih društava iz sektora hotela i restorana iznad očekivanja, podloga su za  stabilizaciju poslovanja u budućnosti. Mađutim, preduvjet za takav razvoj događaja je razrješenje sporova oko vlasničkih odnosa.
</t>
  </si>
  <si>
    <t>anton.glumac@jelsaresort.hr</t>
  </si>
  <si>
    <t>www.jelsaresort.hr</t>
  </si>
  <si>
    <t>petar.radic@jelsaresort.hr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</si>
</sst>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5" fillId="0" borderId="0" applyNumberFormat="0" applyFill="0" applyBorder="0" applyAlignment="0" applyProtection="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166" fontId="2" fillId="0" borderId="0" xfId="5" applyNumberFormat="1" applyProtection="1"/>
    <xf numFmtId="3" fontId="5" fillId="0" borderId="13" xfId="6" applyNumberFormat="1" applyFont="1" applyBorder="1" applyAlignment="1" applyProtection="1">
      <alignment horizontal="righ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35" fillId="12" borderId="3" xfId="7"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5" fillId="12" borderId="3" xfId="7"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6" fillId="2" borderId="4" xfId="3" applyFont="1" applyFill="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cellXfs>
  <cellStyles count="8">
    <cellStyle name="Hyperlink" xfId="7" builtinId="8"/>
    <cellStyle name="Hyperlink 2" xfId="2"/>
    <cellStyle name="Normal" xfId="0" builtinId="0"/>
    <cellStyle name="Normal 2" xfId="3"/>
    <cellStyle name="Normal 2 2" xfId="5"/>
    <cellStyle name="Normal 3" xfId="4"/>
    <cellStyle name="Normalno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etar.radic@jelsaresort.hr" TargetMode="External"/><Relationship Id="rId2" Type="http://schemas.openxmlformats.org/officeDocument/2006/relationships/hyperlink" Target="http://www.jelsaresort.hr/" TargetMode="External"/><Relationship Id="rId1" Type="http://schemas.openxmlformats.org/officeDocument/2006/relationships/hyperlink" Target="mailto:anton.glumac@jelsaresort.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1" workbookViewId="0">
      <selection activeCell="C56" sqref="C56:J56"/>
    </sheetView>
  </sheetViews>
  <sheetFormatPr defaultColWidth="9.140625" defaultRowHeight="15" x14ac:dyDescent="0.25"/>
  <cols>
    <col min="1" max="1" width="9.140625" style="49"/>
    <col min="2" max="2" width="9.140625" style="49" customWidth="1"/>
    <col min="3"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9" t="s">
        <v>308</v>
      </c>
      <c r="B1" s="180"/>
      <c r="C1" s="180"/>
      <c r="D1" s="47"/>
      <c r="E1" s="47"/>
      <c r="F1" s="47"/>
      <c r="G1" s="47"/>
      <c r="H1" s="47"/>
      <c r="I1" s="47"/>
      <c r="J1" s="48"/>
    </row>
    <row r="2" spans="1:20" ht="14.45" customHeight="1" x14ac:dyDescent="0.25">
      <c r="A2" s="181" t="s">
        <v>323</v>
      </c>
      <c r="B2" s="182"/>
      <c r="C2" s="182"/>
      <c r="D2" s="182"/>
      <c r="E2" s="182"/>
      <c r="F2" s="182"/>
      <c r="G2" s="182"/>
      <c r="H2" s="182"/>
      <c r="I2" s="182"/>
      <c r="J2" s="183"/>
      <c r="N2" s="97">
        <v>1</v>
      </c>
    </row>
    <row r="3" spans="1:20" x14ac:dyDescent="0.25">
      <c r="A3" s="50"/>
      <c r="B3" s="51"/>
      <c r="C3" s="51"/>
      <c r="D3" s="51"/>
      <c r="E3" s="51"/>
      <c r="F3" s="51"/>
      <c r="G3" s="51"/>
      <c r="H3" s="51"/>
      <c r="I3" s="51"/>
      <c r="J3" s="52"/>
      <c r="N3" s="97">
        <v>2</v>
      </c>
    </row>
    <row r="4" spans="1:20" ht="33.6" customHeight="1" x14ac:dyDescent="0.25">
      <c r="A4" s="184" t="s">
        <v>309</v>
      </c>
      <c r="B4" s="185"/>
      <c r="C4" s="185"/>
      <c r="D4" s="185"/>
      <c r="E4" s="186">
        <v>44197</v>
      </c>
      <c r="F4" s="187"/>
      <c r="G4" s="53" t="s">
        <v>0</v>
      </c>
      <c r="H4" s="186">
        <v>44561</v>
      </c>
      <c r="I4" s="187"/>
      <c r="J4" s="54"/>
      <c r="N4" s="97">
        <v>3</v>
      </c>
    </row>
    <row r="5" spans="1:20" s="55" customFormat="1" ht="10.15" customHeight="1" x14ac:dyDescent="0.25">
      <c r="A5" s="188"/>
      <c r="B5" s="189"/>
      <c r="C5" s="189"/>
      <c r="D5" s="189"/>
      <c r="E5" s="189"/>
      <c r="F5" s="189"/>
      <c r="G5" s="189"/>
      <c r="H5" s="189"/>
      <c r="I5" s="189"/>
      <c r="J5" s="190"/>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5" t="s">
        <v>332</v>
      </c>
      <c r="B10" s="176"/>
      <c r="C10" s="176"/>
      <c r="D10" s="176"/>
      <c r="E10" s="176"/>
      <c r="F10" s="176"/>
      <c r="G10" s="176"/>
      <c r="H10" s="176"/>
      <c r="I10" s="176"/>
      <c r="J10" s="66"/>
    </row>
    <row r="11" spans="1:20" ht="24.6" customHeight="1" x14ac:dyDescent="0.25">
      <c r="A11" s="163" t="s">
        <v>310</v>
      </c>
      <c r="B11" s="177"/>
      <c r="C11" s="169" t="s">
        <v>449</v>
      </c>
      <c r="D11" s="170"/>
      <c r="E11" s="67"/>
      <c r="F11" s="134" t="s">
        <v>333</v>
      </c>
      <c r="G11" s="173"/>
      <c r="H11" s="151" t="s">
        <v>450</v>
      </c>
      <c r="I11" s="152"/>
      <c r="J11" s="68"/>
    </row>
    <row r="12" spans="1:20" ht="14.45" customHeight="1" x14ac:dyDescent="0.25">
      <c r="A12" s="69"/>
      <c r="B12" s="70"/>
      <c r="C12" s="70"/>
      <c r="D12" s="70"/>
      <c r="E12" s="178"/>
      <c r="F12" s="178"/>
      <c r="G12" s="178"/>
      <c r="H12" s="178"/>
      <c r="I12" s="71"/>
      <c r="J12" s="68"/>
    </row>
    <row r="13" spans="1:20" ht="21" customHeight="1" x14ac:dyDescent="0.25">
      <c r="A13" s="133" t="s">
        <v>324</v>
      </c>
      <c r="B13" s="173"/>
      <c r="C13" s="169" t="s">
        <v>451</v>
      </c>
      <c r="D13" s="170"/>
      <c r="E13" s="191"/>
      <c r="F13" s="178"/>
      <c r="G13" s="178"/>
      <c r="H13" s="178"/>
      <c r="I13" s="71"/>
      <c r="J13" s="68"/>
    </row>
    <row r="14" spans="1:20" ht="10.9" customHeight="1" x14ac:dyDescent="0.25">
      <c r="A14" s="67"/>
      <c r="B14" s="71"/>
      <c r="C14" s="70"/>
      <c r="D14" s="70"/>
      <c r="E14" s="140"/>
      <c r="F14" s="140"/>
      <c r="G14" s="140"/>
      <c r="H14" s="140"/>
      <c r="I14" s="70"/>
      <c r="J14" s="72"/>
    </row>
    <row r="15" spans="1:20" ht="22.9" customHeight="1" x14ac:dyDescent="0.25">
      <c r="A15" s="133" t="s">
        <v>311</v>
      </c>
      <c r="B15" s="173"/>
      <c r="C15" s="169" t="s">
        <v>452</v>
      </c>
      <c r="D15" s="170"/>
      <c r="E15" s="174"/>
      <c r="F15" s="165"/>
      <c r="G15" s="73" t="s">
        <v>334</v>
      </c>
      <c r="H15" s="151" t="s">
        <v>453</v>
      </c>
      <c r="I15" s="152"/>
      <c r="J15" s="74"/>
    </row>
    <row r="16" spans="1:20" ht="10.9" customHeight="1" x14ac:dyDescent="0.25">
      <c r="A16" s="67"/>
      <c r="B16" s="71"/>
      <c r="C16" s="70"/>
      <c r="D16" s="70"/>
      <c r="E16" s="140"/>
      <c r="F16" s="140"/>
      <c r="G16" s="140"/>
      <c r="H16" s="140"/>
      <c r="I16" s="70"/>
      <c r="J16" s="72"/>
    </row>
    <row r="17" spans="1:10" ht="22.9" customHeight="1" x14ac:dyDescent="0.25">
      <c r="A17" s="75"/>
      <c r="B17" s="73" t="s">
        <v>335</v>
      </c>
      <c r="C17" s="169" t="s">
        <v>454</v>
      </c>
      <c r="D17" s="170"/>
      <c r="E17" s="76"/>
      <c r="F17" s="76"/>
      <c r="G17" s="76"/>
      <c r="H17" s="76"/>
      <c r="I17" s="76"/>
      <c r="J17" s="74"/>
    </row>
    <row r="18" spans="1:10" x14ac:dyDescent="0.25">
      <c r="A18" s="171"/>
      <c r="B18" s="172"/>
      <c r="C18" s="140"/>
      <c r="D18" s="140"/>
      <c r="E18" s="140"/>
      <c r="F18" s="140"/>
      <c r="G18" s="140"/>
      <c r="H18" s="140"/>
      <c r="I18" s="70"/>
      <c r="J18" s="72"/>
    </row>
    <row r="19" spans="1:10" x14ac:dyDescent="0.25">
      <c r="A19" s="163" t="s">
        <v>312</v>
      </c>
      <c r="B19" s="164"/>
      <c r="C19" s="142" t="s">
        <v>455</v>
      </c>
      <c r="D19" s="143"/>
      <c r="E19" s="143"/>
      <c r="F19" s="143"/>
      <c r="G19" s="143"/>
      <c r="H19" s="143"/>
      <c r="I19" s="143"/>
      <c r="J19" s="144"/>
    </row>
    <row r="20" spans="1:10" x14ac:dyDescent="0.25">
      <c r="A20" s="69"/>
      <c r="B20" s="70"/>
      <c r="C20" s="77"/>
      <c r="D20" s="70"/>
      <c r="E20" s="140"/>
      <c r="F20" s="140"/>
      <c r="G20" s="140"/>
      <c r="H20" s="140"/>
      <c r="I20" s="70"/>
      <c r="J20" s="72"/>
    </row>
    <row r="21" spans="1:10" x14ac:dyDescent="0.25">
      <c r="A21" s="163" t="s">
        <v>313</v>
      </c>
      <c r="B21" s="164"/>
      <c r="C21" s="151">
        <v>21465</v>
      </c>
      <c r="D21" s="152"/>
      <c r="E21" s="140"/>
      <c r="F21" s="140"/>
      <c r="G21" s="142" t="s">
        <v>456</v>
      </c>
      <c r="H21" s="143"/>
      <c r="I21" s="143"/>
      <c r="J21" s="144"/>
    </row>
    <row r="22" spans="1:10" x14ac:dyDescent="0.25">
      <c r="A22" s="69"/>
      <c r="B22" s="70"/>
      <c r="C22" s="70"/>
      <c r="D22" s="70"/>
      <c r="E22" s="140"/>
      <c r="F22" s="140"/>
      <c r="G22" s="140"/>
      <c r="H22" s="140"/>
      <c r="I22" s="70"/>
      <c r="J22" s="72"/>
    </row>
    <row r="23" spans="1:10" x14ac:dyDescent="0.25">
      <c r="A23" s="163" t="s">
        <v>314</v>
      </c>
      <c r="B23" s="164"/>
      <c r="C23" s="142" t="s">
        <v>457</v>
      </c>
      <c r="D23" s="143"/>
      <c r="E23" s="143"/>
      <c r="F23" s="143"/>
      <c r="G23" s="143"/>
      <c r="H23" s="143"/>
      <c r="I23" s="143"/>
      <c r="J23" s="144"/>
    </row>
    <row r="24" spans="1:10" x14ac:dyDescent="0.25">
      <c r="A24" s="69"/>
      <c r="B24" s="70"/>
      <c r="C24" s="70"/>
      <c r="D24" s="70"/>
      <c r="E24" s="140"/>
      <c r="F24" s="140"/>
      <c r="G24" s="140"/>
      <c r="H24" s="140"/>
      <c r="I24" s="70"/>
      <c r="J24" s="72"/>
    </row>
    <row r="25" spans="1:10" x14ac:dyDescent="0.25">
      <c r="A25" s="163" t="s">
        <v>315</v>
      </c>
      <c r="B25" s="164"/>
      <c r="C25" s="166" t="s">
        <v>467</v>
      </c>
      <c r="D25" s="167"/>
      <c r="E25" s="167"/>
      <c r="F25" s="167"/>
      <c r="G25" s="167"/>
      <c r="H25" s="167"/>
      <c r="I25" s="167"/>
      <c r="J25" s="168"/>
    </row>
    <row r="26" spans="1:10" x14ac:dyDescent="0.25">
      <c r="A26" s="69"/>
      <c r="B26" s="70"/>
      <c r="C26" s="77"/>
      <c r="D26" s="70"/>
      <c r="E26" s="140"/>
      <c r="F26" s="140"/>
      <c r="G26" s="140"/>
      <c r="H26" s="140"/>
      <c r="I26" s="70"/>
      <c r="J26" s="72"/>
    </row>
    <row r="27" spans="1:10" x14ac:dyDescent="0.25">
      <c r="A27" s="163" t="s">
        <v>316</v>
      </c>
      <c r="B27" s="164"/>
      <c r="C27" s="166" t="s">
        <v>468</v>
      </c>
      <c r="D27" s="167"/>
      <c r="E27" s="167"/>
      <c r="F27" s="167"/>
      <c r="G27" s="167"/>
      <c r="H27" s="167"/>
      <c r="I27" s="167"/>
      <c r="J27" s="168"/>
    </row>
    <row r="28" spans="1:10" ht="13.9" customHeight="1" x14ac:dyDescent="0.25">
      <c r="A28" s="69"/>
      <c r="B28" s="70"/>
      <c r="C28" s="77"/>
      <c r="D28" s="70"/>
      <c r="E28" s="140"/>
      <c r="F28" s="140"/>
      <c r="G28" s="140"/>
      <c r="H28" s="140"/>
      <c r="I28" s="70"/>
      <c r="J28" s="72"/>
    </row>
    <row r="29" spans="1:10" ht="22.9" customHeight="1" x14ac:dyDescent="0.25">
      <c r="A29" s="133" t="s">
        <v>325</v>
      </c>
      <c r="B29" s="164"/>
      <c r="C29" s="78">
        <v>35</v>
      </c>
      <c r="D29" s="79"/>
      <c r="E29" s="145"/>
      <c r="F29" s="145"/>
      <c r="G29" s="145"/>
      <c r="H29" s="145"/>
      <c r="I29" s="80"/>
      <c r="J29" s="81"/>
    </row>
    <row r="30" spans="1:10" x14ac:dyDescent="0.25">
      <c r="A30" s="69"/>
      <c r="B30" s="70"/>
      <c r="C30" s="70"/>
      <c r="D30" s="70"/>
      <c r="E30" s="140"/>
      <c r="F30" s="140"/>
      <c r="G30" s="140"/>
      <c r="H30" s="140"/>
      <c r="I30" s="80"/>
      <c r="J30" s="81"/>
    </row>
    <row r="31" spans="1:10" x14ac:dyDescent="0.25">
      <c r="A31" s="163" t="s">
        <v>317</v>
      </c>
      <c r="B31" s="164"/>
      <c r="C31" s="94" t="s">
        <v>337</v>
      </c>
      <c r="D31" s="162" t="s">
        <v>336</v>
      </c>
      <c r="E31" s="149"/>
      <c r="F31" s="149"/>
      <c r="G31" s="149"/>
      <c r="H31" s="82"/>
      <c r="I31" s="83" t="s">
        <v>337</v>
      </c>
      <c r="J31" s="84" t="s">
        <v>338</v>
      </c>
    </row>
    <row r="32" spans="1:10" x14ac:dyDescent="0.25">
      <c r="A32" s="163"/>
      <c r="B32" s="164"/>
      <c r="C32" s="85"/>
      <c r="D32" s="53"/>
      <c r="E32" s="165"/>
      <c r="F32" s="165"/>
      <c r="G32" s="165"/>
      <c r="H32" s="165"/>
      <c r="I32" s="80"/>
      <c r="J32" s="81"/>
    </row>
    <row r="33" spans="1:10" x14ac:dyDescent="0.25">
      <c r="A33" s="163" t="s">
        <v>326</v>
      </c>
      <c r="B33" s="164"/>
      <c r="C33" s="78" t="s">
        <v>340</v>
      </c>
      <c r="D33" s="162" t="s">
        <v>339</v>
      </c>
      <c r="E33" s="149"/>
      <c r="F33" s="149"/>
      <c r="G33" s="149"/>
      <c r="H33" s="76"/>
      <c r="I33" s="83" t="s">
        <v>340</v>
      </c>
      <c r="J33" s="84" t="s">
        <v>341</v>
      </c>
    </row>
    <row r="34" spans="1:10" x14ac:dyDescent="0.25">
      <c r="A34" s="69"/>
      <c r="B34" s="70"/>
      <c r="C34" s="70"/>
      <c r="D34" s="70"/>
      <c r="E34" s="140"/>
      <c r="F34" s="140"/>
      <c r="G34" s="140"/>
      <c r="H34" s="140"/>
      <c r="I34" s="70"/>
      <c r="J34" s="72"/>
    </row>
    <row r="35" spans="1:10" x14ac:dyDescent="0.25">
      <c r="A35" s="162" t="s">
        <v>327</v>
      </c>
      <c r="B35" s="149"/>
      <c r="C35" s="149"/>
      <c r="D35" s="149"/>
      <c r="E35" s="149" t="s">
        <v>318</v>
      </c>
      <c r="F35" s="149"/>
      <c r="G35" s="149"/>
      <c r="H35" s="149"/>
      <c r="I35" s="149"/>
      <c r="J35" s="86" t="s">
        <v>319</v>
      </c>
    </row>
    <row r="36" spans="1:10" x14ac:dyDescent="0.25">
      <c r="A36" s="69"/>
      <c r="B36" s="70"/>
      <c r="C36" s="70"/>
      <c r="D36" s="70"/>
      <c r="E36" s="140"/>
      <c r="F36" s="140"/>
      <c r="G36" s="140"/>
      <c r="H36" s="140"/>
      <c r="I36" s="70"/>
      <c r="J36" s="81"/>
    </row>
    <row r="37" spans="1:10" x14ac:dyDescent="0.25">
      <c r="A37" s="157"/>
      <c r="B37" s="158"/>
      <c r="C37" s="158"/>
      <c r="D37" s="158"/>
      <c r="E37" s="157"/>
      <c r="F37" s="158"/>
      <c r="G37" s="158"/>
      <c r="H37" s="158"/>
      <c r="I37" s="159"/>
      <c r="J37" s="87"/>
    </row>
    <row r="38" spans="1:10" x14ac:dyDescent="0.25">
      <c r="A38" s="69"/>
      <c r="B38" s="70"/>
      <c r="C38" s="77"/>
      <c r="D38" s="161"/>
      <c r="E38" s="161"/>
      <c r="F38" s="161"/>
      <c r="G38" s="161"/>
      <c r="H38" s="161"/>
      <c r="I38" s="161"/>
      <c r="J38" s="72"/>
    </row>
    <row r="39" spans="1:10" x14ac:dyDescent="0.25">
      <c r="A39" s="157"/>
      <c r="B39" s="158"/>
      <c r="C39" s="158"/>
      <c r="D39" s="159"/>
      <c r="E39" s="157"/>
      <c r="F39" s="158"/>
      <c r="G39" s="158"/>
      <c r="H39" s="158"/>
      <c r="I39" s="159"/>
      <c r="J39" s="78"/>
    </row>
    <row r="40" spans="1:10" x14ac:dyDescent="0.25">
      <c r="A40" s="69"/>
      <c r="B40" s="70"/>
      <c r="C40" s="77"/>
      <c r="D40" s="88"/>
      <c r="E40" s="161"/>
      <c r="F40" s="161"/>
      <c r="G40" s="161"/>
      <c r="H40" s="161"/>
      <c r="I40" s="71"/>
      <c r="J40" s="72"/>
    </row>
    <row r="41" spans="1:10" x14ac:dyDescent="0.25">
      <c r="A41" s="157"/>
      <c r="B41" s="158"/>
      <c r="C41" s="158"/>
      <c r="D41" s="159"/>
      <c r="E41" s="157"/>
      <c r="F41" s="158"/>
      <c r="G41" s="158"/>
      <c r="H41" s="158"/>
      <c r="I41" s="159"/>
      <c r="J41" s="78"/>
    </row>
    <row r="42" spans="1:10" x14ac:dyDescent="0.25">
      <c r="A42" s="69"/>
      <c r="B42" s="70"/>
      <c r="C42" s="77"/>
      <c r="D42" s="88"/>
      <c r="E42" s="161"/>
      <c r="F42" s="161"/>
      <c r="G42" s="161"/>
      <c r="H42" s="161"/>
      <c r="I42" s="71"/>
      <c r="J42" s="72"/>
    </row>
    <row r="43" spans="1:10" x14ac:dyDescent="0.25">
      <c r="A43" s="157"/>
      <c r="B43" s="158"/>
      <c r="C43" s="158"/>
      <c r="D43" s="159"/>
      <c r="E43" s="157"/>
      <c r="F43" s="158"/>
      <c r="G43" s="158"/>
      <c r="H43" s="158"/>
      <c r="I43" s="159"/>
      <c r="J43" s="78"/>
    </row>
    <row r="44" spans="1:10" x14ac:dyDescent="0.25">
      <c r="A44" s="89"/>
      <c r="B44" s="77"/>
      <c r="C44" s="155"/>
      <c r="D44" s="155"/>
      <c r="E44" s="140"/>
      <c r="F44" s="140"/>
      <c r="G44" s="155"/>
      <c r="H44" s="155"/>
      <c r="I44" s="155"/>
      <c r="J44" s="72"/>
    </row>
    <row r="45" spans="1:10" x14ac:dyDescent="0.25">
      <c r="A45" s="157"/>
      <c r="B45" s="158"/>
      <c r="C45" s="158"/>
      <c r="D45" s="159"/>
      <c r="E45" s="157"/>
      <c r="F45" s="158"/>
      <c r="G45" s="158"/>
      <c r="H45" s="158"/>
      <c r="I45" s="159"/>
      <c r="J45" s="78"/>
    </row>
    <row r="46" spans="1:10" x14ac:dyDescent="0.25">
      <c r="A46" s="89"/>
      <c r="B46" s="77"/>
      <c r="C46" s="77"/>
      <c r="D46" s="70"/>
      <c r="E46" s="160"/>
      <c r="F46" s="160"/>
      <c r="G46" s="155"/>
      <c r="H46" s="155"/>
      <c r="I46" s="70"/>
      <c r="J46" s="72"/>
    </row>
    <row r="47" spans="1:10" x14ac:dyDescent="0.25">
      <c r="A47" s="157"/>
      <c r="B47" s="158"/>
      <c r="C47" s="158"/>
      <c r="D47" s="159"/>
      <c r="E47" s="157"/>
      <c r="F47" s="158"/>
      <c r="G47" s="158"/>
      <c r="H47" s="158"/>
      <c r="I47" s="159"/>
      <c r="J47" s="78"/>
    </row>
    <row r="48" spans="1:10" x14ac:dyDescent="0.25">
      <c r="A48" s="89"/>
      <c r="B48" s="77"/>
      <c r="C48" s="77"/>
      <c r="D48" s="70"/>
      <c r="E48" s="140"/>
      <c r="F48" s="140"/>
      <c r="G48" s="155"/>
      <c r="H48" s="155"/>
      <c r="I48" s="70"/>
      <c r="J48" s="90" t="s">
        <v>342</v>
      </c>
    </row>
    <row r="49" spans="1:10" x14ac:dyDescent="0.25">
      <c r="A49" s="89"/>
      <c r="B49" s="77"/>
      <c r="C49" s="77"/>
      <c r="D49" s="70"/>
      <c r="E49" s="140"/>
      <c r="F49" s="140"/>
      <c r="G49" s="155"/>
      <c r="H49" s="155"/>
      <c r="I49" s="70"/>
      <c r="J49" s="90" t="s">
        <v>343</v>
      </c>
    </row>
    <row r="50" spans="1:10" ht="14.45" customHeight="1" x14ac:dyDescent="0.25">
      <c r="A50" s="133" t="s">
        <v>448</v>
      </c>
      <c r="B50" s="134"/>
      <c r="C50" s="151" t="s">
        <v>342</v>
      </c>
      <c r="D50" s="152"/>
      <c r="E50" s="153" t="s">
        <v>344</v>
      </c>
      <c r="F50" s="154"/>
      <c r="G50" s="142" t="s">
        <v>458</v>
      </c>
      <c r="H50" s="143"/>
      <c r="I50" s="143"/>
      <c r="J50" s="144"/>
    </row>
    <row r="51" spans="1:10" x14ac:dyDescent="0.25">
      <c r="A51" s="89"/>
      <c r="B51" s="77"/>
      <c r="C51" s="155"/>
      <c r="D51" s="155"/>
      <c r="E51" s="140"/>
      <c r="F51" s="140"/>
      <c r="G51" s="156" t="s">
        <v>345</v>
      </c>
      <c r="H51" s="156"/>
      <c r="I51" s="156"/>
      <c r="J51" s="61"/>
    </row>
    <row r="52" spans="1:10" ht="13.9" customHeight="1" x14ac:dyDescent="0.25">
      <c r="A52" s="133" t="s">
        <v>320</v>
      </c>
      <c r="B52" s="134"/>
      <c r="C52" s="142" t="s">
        <v>459</v>
      </c>
      <c r="D52" s="143"/>
      <c r="E52" s="143"/>
      <c r="F52" s="143"/>
      <c r="G52" s="143"/>
      <c r="H52" s="143"/>
      <c r="I52" s="143"/>
      <c r="J52" s="144"/>
    </row>
    <row r="53" spans="1:10" x14ac:dyDescent="0.25">
      <c r="A53" s="69"/>
      <c r="B53" s="70"/>
      <c r="C53" s="145" t="s">
        <v>321</v>
      </c>
      <c r="D53" s="145"/>
      <c r="E53" s="145"/>
      <c r="F53" s="145"/>
      <c r="G53" s="145"/>
      <c r="H53" s="145"/>
      <c r="I53" s="145"/>
      <c r="J53" s="72"/>
    </row>
    <row r="54" spans="1:10" x14ac:dyDescent="0.25">
      <c r="A54" s="133" t="s">
        <v>322</v>
      </c>
      <c r="B54" s="134"/>
      <c r="C54" s="146" t="s">
        <v>460</v>
      </c>
      <c r="D54" s="147"/>
      <c r="E54" s="148"/>
      <c r="F54" s="140"/>
      <c r="G54" s="140"/>
      <c r="H54" s="149"/>
      <c r="I54" s="149"/>
      <c r="J54" s="150"/>
    </row>
    <row r="55" spans="1:10" x14ac:dyDescent="0.25">
      <c r="A55" s="69"/>
      <c r="B55" s="70"/>
      <c r="C55" s="77"/>
      <c r="D55" s="70"/>
      <c r="E55" s="140"/>
      <c r="F55" s="140"/>
      <c r="G55" s="140"/>
      <c r="H55" s="140"/>
      <c r="I55" s="70"/>
      <c r="J55" s="72"/>
    </row>
    <row r="56" spans="1:10" ht="14.45" customHeight="1" x14ac:dyDescent="0.25">
      <c r="A56" s="133" t="s">
        <v>315</v>
      </c>
      <c r="B56" s="134"/>
      <c r="C56" s="141" t="s">
        <v>469</v>
      </c>
      <c r="D56" s="136"/>
      <c r="E56" s="136"/>
      <c r="F56" s="136"/>
      <c r="G56" s="136"/>
      <c r="H56" s="136"/>
      <c r="I56" s="136"/>
      <c r="J56" s="137"/>
    </row>
    <row r="57" spans="1:10" x14ac:dyDescent="0.25">
      <c r="A57" s="69"/>
      <c r="B57" s="70"/>
      <c r="C57" s="70"/>
      <c r="D57" s="70"/>
      <c r="E57" s="140"/>
      <c r="F57" s="140"/>
      <c r="G57" s="140"/>
      <c r="H57" s="140"/>
      <c r="I57" s="70"/>
      <c r="J57" s="72"/>
    </row>
    <row r="58" spans="1:10" x14ac:dyDescent="0.25">
      <c r="A58" s="133" t="s">
        <v>346</v>
      </c>
      <c r="B58" s="134"/>
      <c r="C58" s="135" t="s">
        <v>461</v>
      </c>
      <c r="D58" s="136"/>
      <c r="E58" s="136"/>
      <c r="F58" s="136"/>
      <c r="G58" s="136"/>
      <c r="H58" s="136"/>
      <c r="I58" s="136"/>
      <c r="J58" s="137"/>
    </row>
    <row r="59" spans="1:10" ht="14.45" customHeight="1" x14ac:dyDescent="0.25">
      <c r="A59" s="69"/>
      <c r="B59" s="70"/>
      <c r="C59" s="138" t="s">
        <v>347</v>
      </c>
      <c r="D59" s="138"/>
      <c r="E59" s="138"/>
      <c r="F59" s="138"/>
      <c r="G59" s="70"/>
      <c r="H59" s="70"/>
      <c r="I59" s="70"/>
      <c r="J59" s="72"/>
    </row>
    <row r="60" spans="1:10" x14ac:dyDescent="0.25">
      <c r="A60" s="133" t="s">
        <v>348</v>
      </c>
      <c r="B60" s="134"/>
      <c r="C60" s="135" t="s">
        <v>462</v>
      </c>
      <c r="D60" s="136"/>
      <c r="E60" s="136"/>
      <c r="F60" s="136"/>
      <c r="G60" s="136"/>
      <c r="H60" s="136"/>
      <c r="I60" s="136"/>
      <c r="J60" s="137"/>
    </row>
    <row r="61" spans="1:10" ht="14.45" customHeight="1" x14ac:dyDescent="0.25">
      <c r="A61" s="91"/>
      <c r="B61" s="92"/>
      <c r="C61" s="139" t="s">
        <v>349</v>
      </c>
      <c r="D61" s="139"/>
      <c r="E61" s="139"/>
      <c r="F61" s="139"/>
      <c r="G61" s="139"/>
      <c r="H61" s="92"/>
      <c r="I61" s="92"/>
      <c r="J61" s="93"/>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hyperlinks>
    <hyperlink ref="C25" r:id="rId1"/>
    <hyperlink ref="C27" r:id="rId2"/>
    <hyperlink ref="C56" r:id="rId3"/>
  </hyperlinks>
  <printOptions horizontalCentered="1"/>
  <pageMargins left="0.39370078740157483" right="0.31496062992125984" top="0.74803149606299213" bottom="0.74803149606299213" header="0.31496062992125984" footer="0.31496062992125984"/>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4"/>
  <sheetViews>
    <sheetView view="pageBreakPreview" topLeftCell="A97" zoomScale="110" zoomScaleNormal="100" zoomScaleSheetLayoutView="110" workbookViewId="0">
      <selection activeCell="I110" sqref="I11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464</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463</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4">
        <v>1</v>
      </c>
      <c r="H8" s="22">
        <v>0</v>
      </c>
      <c r="I8" s="22">
        <v>0</v>
      </c>
    </row>
    <row r="9" spans="1:9" ht="12.75" customHeight="1" x14ac:dyDescent="0.2">
      <c r="A9" s="194" t="s">
        <v>303</v>
      </c>
      <c r="B9" s="194"/>
      <c r="C9" s="194"/>
      <c r="D9" s="194"/>
      <c r="E9" s="194"/>
      <c r="F9" s="194"/>
      <c r="G9" s="15">
        <v>2</v>
      </c>
      <c r="H9" s="23">
        <f>H10+H17+H27+H38+H43</f>
        <v>135264623</v>
      </c>
      <c r="I9" s="23">
        <f>I10+I17+I27+I38+I43</f>
        <v>132771984</v>
      </c>
    </row>
    <row r="10" spans="1:9" ht="12.75" customHeight="1" x14ac:dyDescent="0.2">
      <c r="A10" s="196" t="s">
        <v>5</v>
      </c>
      <c r="B10" s="196"/>
      <c r="C10" s="196"/>
      <c r="D10" s="196"/>
      <c r="E10" s="196"/>
      <c r="F10" s="196"/>
      <c r="G10" s="15">
        <v>3</v>
      </c>
      <c r="H10" s="23">
        <f>H11+H12+H13+H14+H15+H16</f>
        <v>8713</v>
      </c>
      <c r="I10" s="23">
        <f>I11+I12+I13+I14+I15+I16</f>
        <v>11816</v>
      </c>
    </row>
    <row r="11" spans="1:9" ht="12.75" customHeight="1" x14ac:dyDescent="0.2">
      <c r="A11" s="192" t="s">
        <v>6</v>
      </c>
      <c r="B11" s="192"/>
      <c r="C11" s="192"/>
      <c r="D11" s="192"/>
      <c r="E11" s="192"/>
      <c r="F11" s="192"/>
      <c r="G11" s="14">
        <v>4</v>
      </c>
      <c r="H11" s="22">
        <v>0</v>
      </c>
      <c r="I11" s="22">
        <v>0</v>
      </c>
    </row>
    <row r="12" spans="1:9" ht="22.9" customHeight="1" x14ac:dyDescent="0.2">
      <c r="A12" s="192" t="s">
        <v>7</v>
      </c>
      <c r="B12" s="192"/>
      <c r="C12" s="192"/>
      <c r="D12" s="192"/>
      <c r="E12" s="192"/>
      <c r="F12" s="192"/>
      <c r="G12" s="14">
        <v>5</v>
      </c>
      <c r="H12" s="22">
        <v>8713</v>
      </c>
      <c r="I12" s="22">
        <f>11816</f>
        <v>11816</v>
      </c>
    </row>
    <row r="13" spans="1:9" ht="12.75" customHeight="1" x14ac:dyDescent="0.2">
      <c r="A13" s="192" t="s">
        <v>8</v>
      </c>
      <c r="B13" s="192"/>
      <c r="C13" s="192"/>
      <c r="D13" s="192"/>
      <c r="E13" s="192"/>
      <c r="F13" s="192"/>
      <c r="G13" s="14">
        <v>6</v>
      </c>
      <c r="H13" s="22">
        <v>0</v>
      </c>
      <c r="I13" s="22">
        <v>0</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0</v>
      </c>
      <c r="I15" s="22">
        <v>0</v>
      </c>
    </row>
    <row r="16" spans="1:9" ht="12.75" customHeight="1" x14ac:dyDescent="0.2">
      <c r="A16" s="192" t="s">
        <v>11</v>
      </c>
      <c r="B16" s="192"/>
      <c r="C16" s="192"/>
      <c r="D16" s="192"/>
      <c r="E16" s="192"/>
      <c r="F16" s="192"/>
      <c r="G16" s="14">
        <v>9</v>
      </c>
      <c r="H16" s="22">
        <v>0</v>
      </c>
      <c r="I16" s="22">
        <v>0</v>
      </c>
    </row>
    <row r="17" spans="1:12" ht="12.75" customHeight="1" x14ac:dyDescent="0.2">
      <c r="A17" s="196" t="s">
        <v>12</v>
      </c>
      <c r="B17" s="196"/>
      <c r="C17" s="196"/>
      <c r="D17" s="196"/>
      <c r="E17" s="196"/>
      <c r="F17" s="196"/>
      <c r="G17" s="15">
        <v>10</v>
      </c>
      <c r="H17" s="23">
        <f>H18+H19+H20+H21+H22+H23+H24+H25+H26</f>
        <v>115044964</v>
      </c>
      <c r="I17" s="23">
        <f>I18+I19+I20+I21+I22+I23+I24+I25+I26</f>
        <v>112506322</v>
      </c>
      <c r="L17" s="24"/>
    </row>
    <row r="18" spans="1:12" ht="12.75" customHeight="1" x14ac:dyDescent="0.2">
      <c r="A18" s="192" t="s">
        <v>13</v>
      </c>
      <c r="B18" s="192"/>
      <c r="C18" s="192"/>
      <c r="D18" s="192"/>
      <c r="E18" s="192"/>
      <c r="F18" s="192"/>
      <c r="G18" s="14">
        <v>11</v>
      </c>
      <c r="H18" s="22">
        <v>8217383</v>
      </c>
      <c r="I18" s="22">
        <f>8217383</f>
        <v>8217383</v>
      </c>
    </row>
    <row r="19" spans="1:12" ht="12.75" customHeight="1" x14ac:dyDescent="0.2">
      <c r="A19" s="192" t="s">
        <v>14</v>
      </c>
      <c r="B19" s="192"/>
      <c r="C19" s="192"/>
      <c r="D19" s="192"/>
      <c r="E19" s="192"/>
      <c r="F19" s="192"/>
      <c r="G19" s="14">
        <v>12</v>
      </c>
      <c r="H19" s="22">
        <v>2320775</v>
      </c>
      <c r="I19" s="22">
        <f>2914464-652139</f>
        <v>2262325</v>
      </c>
    </row>
    <row r="20" spans="1:12" ht="12.75" customHeight="1" x14ac:dyDescent="0.2">
      <c r="A20" s="192" t="s">
        <v>15</v>
      </c>
      <c r="B20" s="192"/>
      <c r="C20" s="192"/>
      <c r="D20" s="192"/>
      <c r="E20" s="192"/>
      <c r="F20" s="192"/>
      <c r="G20" s="14">
        <v>13</v>
      </c>
      <c r="H20" s="22">
        <v>244057</v>
      </c>
      <c r="I20" s="22">
        <f>9171644-8977094</f>
        <v>194550</v>
      </c>
    </row>
    <row r="21" spans="1:12" ht="12.75" customHeight="1" x14ac:dyDescent="0.2">
      <c r="A21" s="192" t="s">
        <v>16</v>
      </c>
      <c r="B21" s="192"/>
      <c r="C21" s="192"/>
      <c r="D21" s="192"/>
      <c r="E21" s="192"/>
      <c r="F21" s="192"/>
      <c r="G21" s="14">
        <v>14</v>
      </c>
      <c r="H21" s="22">
        <v>1305</v>
      </c>
      <c r="I21" s="22">
        <f>6374025-6373349</f>
        <v>676</v>
      </c>
    </row>
    <row r="22" spans="1:12" ht="12.75" customHeight="1" x14ac:dyDescent="0.2">
      <c r="A22" s="192" t="s">
        <v>17</v>
      </c>
      <c r="B22" s="192"/>
      <c r="C22" s="192"/>
      <c r="D22" s="192"/>
      <c r="E22" s="192"/>
      <c r="F22" s="192"/>
      <c r="G22" s="14">
        <v>15</v>
      </c>
      <c r="H22" s="22">
        <v>0</v>
      </c>
      <c r="I22" s="22">
        <v>0</v>
      </c>
    </row>
    <row r="23" spans="1:12" ht="12.75" customHeight="1" x14ac:dyDescent="0.2">
      <c r="A23" s="192" t="s">
        <v>18</v>
      </c>
      <c r="B23" s="192"/>
      <c r="C23" s="192"/>
      <c r="D23" s="192"/>
      <c r="E23" s="192"/>
      <c r="F23" s="192"/>
      <c r="G23" s="14">
        <v>16</v>
      </c>
      <c r="H23" s="22">
        <v>0</v>
      </c>
      <c r="I23" s="22">
        <f>119260</f>
        <v>119260</v>
      </c>
    </row>
    <row r="24" spans="1:12" ht="12.75" customHeight="1" x14ac:dyDescent="0.2">
      <c r="A24" s="192" t="s">
        <v>19</v>
      </c>
      <c r="B24" s="192"/>
      <c r="C24" s="192"/>
      <c r="D24" s="192"/>
      <c r="E24" s="192"/>
      <c r="F24" s="192"/>
      <c r="G24" s="14">
        <v>17</v>
      </c>
      <c r="H24" s="22">
        <v>112222</v>
      </c>
      <c r="I24" s="22">
        <f>318866</f>
        <v>318866</v>
      </c>
    </row>
    <row r="25" spans="1:12" ht="12.75" customHeight="1" x14ac:dyDescent="0.2">
      <c r="A25" s="192" t="s">
        <v>20</v>
      </c>
      <c r="B25" s="192"/>
      <c r="C25" s="192"/>
      <c r="D25" s="192"/>
      <c r="E25" s="192"/>
      <c r="F25" s="192"/>
      <c r="G25" s="14">
        <v>18</v>
      </c>
      <c r="H25" s="22">
        <v>0</v>
      </c>
      <c r="I25" s="22">
        <v>0</v>
      </c>
    </row>
    <row r="26" spans="1:12" ht="12.75" customHeight="1" x14ac:dyDescent="0.2">
      <c r="A26" s="192" t="s">
        <v>21</v>
      </c>
      <c r="B26" s="192"/>
      <c r="C26" s="192"/>
      <c r="D26" s="192"/>
      <c r="E26" s="192"/>
      <c r="F26" s="192"/>
      <c r="G26" s="14">
        <v>19</v>
      </c>
      <c r="H26" s="22">
        <v>104149222</v>
      </c>
      <c r="I26" s="22">
        <f>137284520-35891259+1</f>
        <v>101393262</v>
      </c>
    </row>
    <row r="27" spans="1:12" ht="12.75" customHeight="1" x14ac:dyDescent="0.2">
      <c r="A27" s="196" t="s">
        <v>22</v>
      </c>
      <c r="B27" s="196"/>
      <c r="C27" s="196"/>
      <c r="D27" s="196"/>
      <c r="E27" s="196"/>
      <c r="F27" s="196"/>
      <c r="G27" s="15">
        <v>20</v>
      </c>
      <c r="H27" s="23">
        <f>SUM(H28:H37)</f>
        <v>20210946</v>
      </c>
      <c r="I27" s="23">
        <f>SUM(I28:I37)</f>
        <v>20253846</v>
      </c>
    </row>
    <row r="28" spans="1:12" ht="12.75" customHeight="1" x14ac:dyDescent="0.2">
      <c r="A28" s="192" t="s">
        <v>23</v>
      </c>
      <c r="B28" s="192"/>
      <c r="C28" s="192"/>
      <c r="D28" s="192"/>
      <c r="E28" s="192"/>
      <c r="F28" s="192"/>
      <c r="G28" s="14">
        <v>21</v>
      </c>
      <c r="H28" s="22">
        <v>17877000</v>
      </c>
      <c r="I28" s="22">
        <f>17877000</f>
        <v>17877000</v>
      </c>
    </row>
    <row r="29" spans="1:12" ht="12.75" customHeight="1" x14ac:dyDescent="0.2">
      <c r="A29" s="192" t="s">
        <v>24</v>
      </c>
      <c r="B29" s="192"/>
      <c r="C29" s="192"/>
      <c r="D29" s="192"/>
      <c r="E29" s="192"/>
      <c r="F29" s="192"/>
      <c r="G29" s="14">
        <v>22</v>
      </c>
      <c r="H29" s="22">
        <v>0</v>
      </c>
      <c r="I29" s="22">
        <v>0</v>
      </c>
    </row>
    <row r="30" spans="1:12" ht="12.75" customHeight="1" x14ac:dyDescent="0.2">
      <c r="A30" s="192" t="s">
        <v>25</v>
      </c>
      <c r="B30" s="192"/>
      <c r="C30" s="192"/>
      <c r="D30" s="192"/>
      <c r="E30" s="192"/>
      <c r="F30" s="192"/>
      <c r="G30" s="14">
        <v>23</v>
      </c>
      <c r="H30" s="22">
        <v>1430000</v>
      </c>
      <c r="I30" s="22">
        <f>1430000</f>
        <v>1430000</v>
      </c>
    </row>
    <row r="31" spans="1:12" ht="24" customHeight="1" x14ac:dyDescent="0.2">
      <c r="A31" s="192" t="s">
        <v>26</v>
      </c>
      <c r="B31" s="192"/>
      <c r="C31" s="192"/>
      <c r="D31" s="192"/>
      <c r="E31" s="192"/>
      <c r="F31" s="192"/>
      <c r="G31" s="14">
        <v>24</v>
      </c>
      <c r="H31" s="22">
        <v>0</v>
      </c>
      <c r="I31" s="22">
        <v>0</v>
      </c>
    </row>
    <row r="32" spans="1:12"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903946</v>
      </c>
      <c r="I37" s="22">
        <f>946846</f>
        <v>946846</v>
      </c>
    </row>
    <row r="38" spans="1:9" ht="12.75" customHeight="1" x14ac:dyDescent="0.2">
      <c r="A38" s="196" t="s">
        <v>33</v>
      </c>
      <c r="B38" s="196"/>
      <c r="C38" s="196"/>
      <c r="D38" s="196"/>
      <c r="E38" s="196"/>
      <c r="F38" s="196"/>
      <c r="G38" s="15">
        <v>31</v>
      </c>
      <c r="H38" s="23">
        <f>H39+H40+H41+H42</f>
        <v>0</v>
      </c>
      <c r="I38" s="23">
        <f>I39+I40+I41+I42</f>
        <v>0</v>
      </c>
    </row>
    <row r="39" spans="1:9" ht="12.75" customHeight="1" x14ac:dyDescent="0.2">
      <c r="A39" s="192" t="s">
        <v>34</v>
      </c>
      <c r="B39" s="192"/>
      <c r="C39" s="192"/>
      <c r="D39" s="192"/>
      <c r="E39" s="192"/>
      <c r="F39" s="192"/>
      <c r="G39" s="14">
        <v>32</v>
      </c>
      <c r="H39" s="22">
        <v>0</v>
      </c>
      <c r="I39" s="22">
        <v>0</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0</v>
      </c>
      <c r="I43" s="22">
        <v>0</v>
      </c>
    </row>
    <row r="44" spans="1:9" ht="12.75" customHeight="1" x14ac:dyDescent="0.2">
      <c r="A44" s="194" t="s">
        <v>304</v>
      </c>
      <c r="B44" s="194"/>
      <c r="C44" s="194"/>
      <c r="D44" s="194"/>
      <c r="E44" s="194"/>
      <c r="F44" s="194"/>
      <c r="G44" s="15">
        <v>37</v>
      </c>
      <c r="H44" s="23">
        <f>H45+H53+H60+H70</f>
        <v>18043648</v>
      </c>
      <c r="I44" s="23">
        <f>I45+I53+I60+I70</f>
        <v>13447422</v>
      </c>
    </row>
    <row r="45" spans="1:9" ht="12.75" customHeight="1" x14ac:dyDescent="0.2">
      <c r="A45" s="196" t="s">
        <v>39</v>
      </c>
      <c r="B45" s="196"/>
      <c r="C45" s="196"/>
      <c r="D45" s="196"/>
      <c r="E45" s="196"/>
      <c r="F45" s="196"/>
      <c r="G45" s="15">
        <v>38</v>
      </c>
      <c r="H45" s="23">
        <f>SUM(H46:H52)</f>
        <v>45635</v>
      </c>
      <c r="I45" s="23">
        <f>SUM(I46:I52)</f>
        <v>48041</v>
      </c>
    </row>
    <row r="46" spans="1:9" ht="12.75" customHeight="1" x14ac:dyDescent="0.2">
      <c r="A46" s="192" t="s">
        <v>40</v>
      </c>
      <c r="B46" s="192"/>
      <c r="C46" s="192"/>
      <c r="D46" s="192"/>
      <c r="E46" s="192"/>
      <c r="F46" s="192"/>
      <c r="G46" s="14">
        <v>39</v>
      </c>
      <c r="H46" s="22">
        <v>42255</v>
      </c>
      <c r="I46" s="22">
        <f>16633+23621+4548593+2000-4546186</f>
        <v>44661</v>
      </c>
    </row>
    <row r="47" spans="1:9" ht="12.75" customHeight="1" x14ac:dyDescent="0.2">
      <c r="A47" s="192" t="s">
        <v>41</v>
      </c>
      <c r="B47" s="192"/>
      <c r="C47" s="192"/>
      <c r="D47" s="192"/>
      <c r="E47" s="192"/>
      <c r="F47" s="192"/>
      <c r="G47" s="14">
        <v>40</v>
      </c>
      <c r="H47" s="22">
        <v>0</v>
      </c>
      <c r="I47" s="22">
        <v>0</v>
      </c>
    </row>
    <row r="48" spans="1:9" ht="12.75" customHeight="1" x14ac:dyDescent="0.2">
      <c r="A48" s="192" t="s">
        <v>42</v>
      </c>
      <c r="B48" s="192"/>
      <c r="C48" s="192"/>
      <c r="D48" s="192"/>
      <c r="E48" s="192"/>
      <c r="F48" s="192"/>
      <c r="G48" s="14">
        <v>41</v>
      </c>
      <c r="H48" s="22">
        <v>0</v>
      </c>
      <c r="I48" s="22">
        <v>0</v>
      </c>
    </row>
    <row r="49" spans="1:9" ht="12.75" customHeight="1" x14ac:dyDescent="0.2">
      <c r="A49" s="192" t="s">
        <v>43</v>
      </c>
      <c r="B49" s="192"/>
      <c r="C49" s="192"/>
      <c r="D49" s="192"/>
      <c r="E49" s="192"/>
      <c r="F49" s="192"/>
      <c r="G49" s="14">
        <v>42</v>
      </c>
      <c r="H49" s="22">
        <v>0</v>
      </c>
      <c r="I49" s="22">
        <v>0</v>
      </c>
    </row>
    <row r="50" spans="1:9" ht="12.75" customHeight="1" x14ac:dyDescent="0.2">
      <c r="A50" s="192" t="s">
        <v>44</v>
      </c>
      <c r="B50" s="192"/>
      <c r="C50" s="192"/>
      <c r="D50" s="192"/>
      <c r="E50" s="192"/>
      <c r="F50" s="192"/>
      <c r="G50" s="14">
        <v>43</v>
      </c>
      <c r="H50" s="22">
        <v>3380</v>
      </c>
      <c r="I50" s="22">
        <f>3380</f>
        <v>3380</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6" t="s">
        <v>47</v>
      </c>
      <c r="B53" s="196"/>
      <c r="C53" s="196"/>
      <c r="D53" s="196"/>
      <c r="E53" s="196"/>
      <c r="F53" s="196"/>
      <c r="G53" s="15">
        <v>46</v>
      </c>
      <c r="H53" s="23">
        <f>SUM(H54:H59)</f>
        <v>727421</v>
      </c>
      <c r="I53" s="23">
        <f>SUM(I54:I59)</f>
        <v>1369747</v>
      </c>
    </row>
    <row r="54" spans="1:9" ht="12.75" customHeight="1" x14ac:dyDescent="0.2">
      <c r="A54" s="192" t="s">
        <v>48</v>
      </c>
      <c r="B54" s="192"/>
      <c r="C54" s="192"/>
      <c r="D54" s="192"/>
      <c r="E54" s="192"/>
      <c r="F54" s="192"/>
      <c r="G54" s="14">
        <v>47</v>
      </c>
      <c r="H54" s="22">
        <v>4343</v>
      </c>
      <c r="I54" s="22">
        <f>464308</f>
        <v>464308</v>
      </c>
    </row>
    <row r="55" spans="1:9" ht="12.75" customHeight="1" x14ac:dyDescent="0.2">
      <c r="A55" s="192" t="s">
        <v>49</v>
      </c>
      <c r="B55" s="192"/>
      <c r="C55" s="192"/>
      <c r="D55" s="192"/>
      <c r="E55" s="192"/>
      <c r="F55" s="192"/>
      <c r="G55" s="14">
        <v>48</v>
      </c>
      <c r="H55" s="22">
        <v>0</v>
      </c>
      <c r="I55" s="22">
        <v>0</v>
      </c>
    </row>
    <row r="56" spans="1:9" ht="12.75" customHeight="1" x14ac:dyDescent="0.2">
      <c r="A56" s="192" t="s">
        <v>50</v>
      </c>
      <c r="B56" s="192"/>
      <c r="C56" s="192"/>
      <c r="D56" s="192"/>
      <c r="E56" s="192"/>
      <c r="F56" s="192"/>
      <c r="G56" s="14">
        <v>49</v>
      </c>
      <c r="H56" s="22">
        <v>248435</v>
      </c>
      <c r="I56" s="22">
        <f>343290</f>
        <v>343290</v>
      </c>
    </row>
    <row r="57" spans="1:9" ht="12.75" customHeight="1" x14ac:dyDescent="0.2">
      <c r="A57" s="192" t="s">
        <v>51</v>
      </c>
      <c r="B57" s="192"/>
      <c r="C57" s="192"/>
      <c r="D57" s="192"/>
      <c r="E57" s="192"/>
      <c r="F57" s="192"/>
      <c r="G57" s="14">
        <v>50</v>
      </c>
      <c r="H57" s="22">
        <v>41348</v>
      </c>
      <c r="I57" s="22">
        <f>31288+9425</f>
        <v>40713</v>
      </c>
    </row>
    <row r="58" spans="1:9" ht="12.75" customHeight="1" x14ac:dyDescent="0.2">
      <c r="A58" s="192" t="s">
        <v>52</v>
      </c>
      <c r="B58" s="192"/>
      <c r="C58" s="192"/>
      <c r="D58" s="192"/>
      <c r="E58" s="192"/>
      <c r="F58" s="192"/>
      <c r="G58" s="14">
        <v>51</v>
      </c>
      <c r="H58" s="22">
        <v>83948</v>
      </c>
      <c r="I58" s="22">
        <f>58015+8+370</f>
        <v>58393</v>
      </c>
    </row>
    <row r="59" spans="1:9" ht="12.75" customHeight="1" x14ac:dyDescent="0.2">
      <c r="A59" s="192" t="s">
        <v>53</v>
      </c>
      <c r="B59" s="192"/>
      <c r="C59" s="192"/>
      <c r="D59" s="192"/>
      <c r="E59" s="192"/>
      <c r="F59" s="192"/>
      <c r="G59" s="14">
        <v>52</v>
      </c>
      <c r="H59" s="22">
        <v>349347</v>
      </c>
      <c r="I59" s="22">
        <f>424320+20000+9426+9297</f>
        <v>463043</v>
      </c>
    </row>
    <row r="60" spans="1:9" ht="12.75" customHeight="1" x14ac:dyDescent="0.2">
      <c r="A60" s="196" t="s">
        <v>54</v>
      </c>
      <c r="B60" s="196"/>
      <c r="C60" s="196"/>
      <c r="D60" s="196"/>
      <c r="E60" s="196"/>
      <c r="F60" s="196"/>
      <c r="G60" s="15">
        <v>53</v>
      </c>
      <c r="H60" s="23">
        <f>SUM(H61:H69)</f>
        <v>17248295</v>
      </c>
      <c r="I60" s="23">
        <f>SUM(I61:I69)</f>
        <v>12011504</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4494779</v>
      </c>
      <c r="I63" s="22">
        <f>24000</f>
        <v>24000</v>
      </c>
    </row>
    <row r="64" spans="1:9" ht="25.9"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0</v>
      </c>
      <c r="I67" s="22">
        <f>20587</f>
        <v>20587</v>
      </c>
    </row>
    <row r="68" spans="1:9" ht="12.75" customHeight="1" x14ac:dyDescent="0.2">
      <c r="A68" s="192" t="s">
        <v>30</v>
      </c>
      <c r="B68" s="192"/>
      <c r="C68" s="192"/>
      <c r="D68" s="192"/>
      <c r="E68" s="192"/>
      <c r="F68" s="192"/>
      <c r="G68" s="14">
        <v>61</v>
      </c>
      <c r="H68" s="22">
        <v>3874181</v>
      </c>
      <c r="I68" s="22">
        <f>4199181-515000</f>
        <v>3684181</v>
      </c>
    </row>
    <row r="69" spans="1:9" ht="12.75" customHeight="1" x14ac:dyDescent="0.2">
      <c r="A69" s="192" t="s">
        <v>56</v>
      </c>
      <c r="B69" s="192"/>
      <c r="C69" s="192"/>
      <c r="D69" s="192"/>
      <c r="E69" s="192"/>
      <c r="F69" s="192"/>
      <c r="G69" s="14">
        <v>62</v>
      </c>
      <c r="H69" s="22">
        <v>8879335</v>
      </c>
      <c r="I69" s="22">
        <f>8369682-86947+1</f>
        <v>8282736</v>
      </c>
    </row>
    <row r="70" spans="1:9" ht="12.75" customHeight="1" x14ac:dyDescent="0.2">
      <c r="A70" s="192" t="s">
        <v>57</v>
      </c>
      <c r="B70" s="192"/>
      <c r="C70" s="192"/>
      <c r="D70" s="192"/>
      <c r="E70" s="192"/>
      <c r="F70" s="192"/>
      <c r="G70" s="14">
        <v>63</v>
      </c>
      <c r="H70" s="22">
        <v>22297</v>
      </c>
      <c r="I70" s="22">
        <f>10692+5729+17+1692</f>
        <v>18130</v>
      </c>
    </row>
    <row r="71" spans="1:9" ht="12.75" customHeight="1" x14ac:dyDescent="0.2">
      <c r="A71" s="193" t="s">
        <v>58</v>
      </c>
      <c r="B71" s="193"/>
      <c r="C71" s="193"/>
      <c r="D71" s="193"/>
      <c r="E71" s="193"/>
      <c r="F71" s="193"/>
      <c r="G71" s="14">
        <v>64</v>
      </c>
      <c r="H71" s="22">
        <v>11532</v>
      </c>
      <c r="I71" s="22">
        <f>2332</f>
        <v>2332</v>
      </c>
    </row>
    <row r="72" spans="1:9" ht="12.75" customHeight="1" x14ac:dyDescent="0.2">
      <c r="A72" s="194" t="s">
        <v>305</v>
      </c>
      <c r="B72" s="194"/>
      <c r="C72" s="194"/>
      <c r="D72" s="194"/>
      <c r="E72" s="194"/>
      <c r="F72" s="194"/>
      <c r="G72" s="15">
        <v>65</v>
      </c>
      <c r="H72" s="23">
        <f>H8+H9+H44+H71</f>
        <v>153319803</v>
      </c>
      <c r="I72" s="23">
        <f>I8+I9+I44+I71</f>
        <v>146221738</v>
      </c>
    </row>
    <row r="73" spans="1:9" ht="12.75" customHeight="1" x14ac:dyDescent="0.2">
      <c r="A73" s="193" t="s">
        <v>59</v>
      </c>
      <c r="B73" s="193"/>
      <c r="C73" s="193"/>
      <c r="D73" s="193"/>
      <c r="E73" s="193"/>
      <c r="F73" s="193"/>
      <c r="G73" s="14">
        <v>66</v>
      </c>
      <c r="H73" s="22">
        <v>0</v>
      </c>
      <c r="I73" s="22">
        <v>0</v>
      </c>
    </row>
    <row r="74" spans="1:9" x14ac:dyDescent="0.2">
      <c r="A74" s="197" t="s">
        <v>60</v>
      </c>
      <c r="B74" s="198"/>
      <c r="C74" s="198"/>
      <c r="D74" s="198"/>
      <c r="E74" s="198"/>
      <c r="F74" s="198"/>
      <c r="G74" s="198"/>
      <c r="H74" s="198"/>
      <c r="I74" s="198"/>
    </row>
    <row r="75" spans="1:9" ht="12.75" customHeight="1" x14ac:dyDescent="0.2">
      <c r="A75" s="194" t="s">
        <v>354</v>
      </c>
      <c r="B75" s="194"/>
      <c r="C75" s="194"/>
      <c r="D75" s="194"/>
      <c r="E75" s="194"/>
      <c r="F75" s="194"/>
      <c r="G75" s="15">
        <v>67</v>
      </c>
      <c r="H75" s="102">
        <f>H76+H77+H78+H84+H85+H91+H94+H97</f>
        <v>93739114</v>
      </c>
      <c r="I75" s="102">
        <f>I76+I77+I78+I84+I85+I91+I94+I97</f>
        <v>92225180</v>
      </c>
    </row>
    <row r="76" spans="1:9" ht="12.75" customHeight="1" x14ac:dyDescent="0.2">
      <c r="A76" s="192" t="s">
        <v>61</v>
      </c>
      <c r="B76" s="192"/>
      <c r="C76" s="192"/>
      <c r="D76" s="192"/>
      <c r="E76" s="192"/>
      <c r="F76" s="192"/>
      <c r="G76" s="14">
        <v>68</v>
      </c>
      <c r="H76" s="22">
        <v>74620310</v>
      </c>
      <c r="I76" s="22">
        <v>74620310</v>
      </c>
    </row>
    <row r="77" spans="1:9" ht="12.75" customHeight="1" x14ac:dyDescent="0.2">
      <c r="A77" s="192" t="s">
        <v>62</v>
      </c>
      <c r="B77" s="192"/>
      <c r="C77" s="192"/>
      <c r="D77" s="192"/>
      <c r="E77" s="192"/>
      <c r="F77" s="192"/>
      <c r="G77" s="14">
        <v>69</v>
      </c>
      <c r="H77" s="22">
        <v>14059645</v>
      </c>
      <c r="I77" s="22">
        <v>14059645</v>
      </c>
    </row>
    <row r="78" spans="1:9" ht="12.75" customHeight="1" x14ac:dyDescent="0.2">
      <c r="A78" s="196" t="s">
        <v>63</v>
      </c>
      <c r="B78" s="196"/>
      <c r="C78" s="196"/>
      <c r="D78" s="196"/>
      <c r="E78" s="196"/>
      <c r="F78" s="196"/>
      <c r="G78" s="15">
        <v>70</v>
      </c>
      <c r="H78" s="102">
        <f>SUM(H79:H83)</f>
        <v>14854</v>
      </c>
      <c r="I78" s="102">
        <f>SUM(I79:I83)</f>
        <v>14854</v>
      </c>
    </row>
    <row r="79" spans="1:9" ht="12.75" customHeight="1" x14ac:dyDescent="0.2">
      <c r="A79" s="192" t="s">
        <v>64</v>
      </c>
      <c r="B79" s="192"/>
      <c r="C79" s="192"/>
      <c r="D79" s="192"/>
      <c r="E79" s="192"/>
      <c r="F79" s="192"/>
      <c r="G79" s="14">
        <v>71</v>
      </c>
      <c r="H79" s="22">
        <v>0</v>
      </c>
      <c r="I79" s="22">
        <v>0</v>
      </c>
    </row>
    <row r="80" spans="1:9" ht="12.75" customHeight="1" x14ac:dyDescent="0.2">
      <c r="A80" s="192" t="s">
        <v>65</v>
      </c>
      <c r="B80" s="192"/>
      <c r="C80" s="192"/>
      <c r="D80" s="192"/>
      <c r="E80" s="192"/>
      <c r="F80" s="192"/>
      <c r="G80" s="14">
        <v>72</v>
      </c>
      <c r="H80" s="22">
        <v>0</v>
      </c>
      <c r="I80" s="22">
        <v>0</v>
      </c>
    </row>
    <row r="81" spans="1:9" ht="12.75" customHeight="1" x14ac:dyDescent="0.2">
      <c r="A81" s="192" t="s">
        <v>66</v>
      </c>
      <c r="B81" s="192"/>
      <c r="C81" s="192"/>
      <c r="D81" s="192"/>
      <c r="E81" s="192"/>
      <c r="F81" s="192"/>
      <c r="G81" s="14">
        <v>73</v>
      </c>
      <c r="H81" s="22">
        <v>0</v>
      </c>
      <c r="I81" s="22">
        <v>0</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14854</v>
      </c>
      <c r="I83" s="22">
        <v>14854</v>
      </c>
    </row>
    <row r="84" spans="1:9" ht="12.75" customHeight="1" x14ac:dyDescent="0.2">
      <c r="A84" s="195" t="s">
        <v>69</v>
      </c>
      <c r="B84" s="195"/>
      <c r="C84" s="195"/>
      <c r="D84" s="195"/>
      <c r="E84" s="195"/>
      <c r="F84" s="195"/>
      <c r="G84" s="95">
        <v>76</v>
      </c>
      <c r="H84" s="96">
        <v>0</v>
      </c>
      <c r="I84" s="96">
        <v>0</v>
      </c>
    </row>
    <row r="85" spans="1:9" ht="12.75" customHeight="1" x14ac:dyDescent="0.2">
      <c r="A85" s="196" t="s">
        <v>446</v>
      </c>
      <c r="B85" s="196"/>
      <c r="C85" s="196"/>
      <c r="D85" s="196"/>
      <c r="E85" s="196"/>
      <c r="F85" s="196"/>
      <c r="G85" s="15">
        <v>77</v>
      </c>
      <c r="H85" s="23">
        <f>H86+H87+H88+H89+H90</f>
        <v>0</v>
      </c>
      <c r="I85" s="23">
        <f>I86+I87+I88+I89+I90</f>
        <v>0</v>
      </c>
    </row>
    <row r="86" spans="1:9" ht="25.5" customHeight="1" x14ac:dyDescent="0.2">
      <c r="A86" s="192" t="s">
        <v>447</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350</v>
      </c>
      <c r="B89" s="192"/>
      <c r="C89" s="192"/>
      <c r="D89" s="192"/>
      <c r="E89" s="192"/>
      <c r="F89" s="192"/>
      <c r="G89" s="14">
        <v>81</v>
      </c>
      <c r="H89" s="22">
        <v>0</v>
      </c>
      <c r="I89" s="22">
        <v>0</v>
      </c>
    </row>
    <row r="90" spans="1:9" ht="12.75" customHeight="1" x14ac:dyDescent="0.2">
      <c r="A90" s="192" t="s">
        <v>351</v>
      </c>
      <c r="B90" s="192"/>
      <c r="C90" s="192"/>
      <c r="D90" s="192"/>
      <c r="E90" s="192"/>
      <c r="F90" s="192"/>
      <c r="G90" s="14">
        <v>82</v>
      </c>
      <c r="H90" s="22">
        <v>0</v>
      </c>
      <c r="I90" s="22">
        <v>0</v>
      </c>
    </row>
    <row r="91" spans="1:9" ht="12.75" customHeight="1" x14ac:dyDescent="0.2">
      <c r="A91" s="196" t="s">
        <v>352</v>
      </c>
      <c r="B91" s="196"/>
      <c r="C91" s="196"/>
      <c r="D91" s="196"/>
      <c r="E91" s="196"/>
      <c r="F91" s="196"/>
      <c r="G91" s="15">
        <v>83</v>
      </c>
      <c r="H91" s="23">
        <f>H92-H93</f>
        <v>8148204</v>
      </c>
      <c r="I91" s="23">
        <f>I92-I93</f>
        <v>5044305</v>
      </c>
    </row>
    <row r="92" spans="1:9" ht="12.75" customHeight="1" x14ac:dyDescent="0.2">
      <c r="A92" s="192" t="s">
        <v>72</v>
      </c>
      <c r="B92" s="192"/>
      <c r="C92" s="192"/>
      <c r="D92" s="192"/>
      <c r="E92" s="192"/>
      <c r="F92" s="192"/>
      <c r="G92" s="14">
        <v>84</v>
      </c>
      <c r="H92" s="22">
        <v>8148204</v>
      </c>
      <c r="I92" s="22">
        <v>8148204</v>
      </c>
    </row>
    <row r="93" spans="1:9" ht="12.75" customHeight="1" x14ac:dyDescent="0.2">
      <c r="A93" s="192" t="s">
        <v>73</v>
      </c>
      <c r="B93" s="192"/>
      <c r="C93" s="192"/>
      <c r="D93" s="192"/>
      <c r="E93" s="192"/>
      <c r="F93" s="192"/>
      <c r="G93" s="14">
        <v>85</v>
      </c>
      <c r="H93" s="22">
        <v>0</v>
      </c>
      <c r="I93" s="22">
        <v>3103899</v>
      </c>
    </row>
    <row r="94" spans="1:9" ht="12.75" customHeight="1" x14ac:dyDescent="0.2">
      <c r="A94" s="196" t="s">
        <v>353</v>
      </c>
      <c r="B94" s="196"/>
      <c r="C94" s="196"/>
      <c r="D94" s="196"/>
      <c r="E94" s="196"/>
      <c r="F94" s="196"/>
      <c r="G94" s="15">
        <v>86</v>
      </c>
      <c r="H94" s="23">
        <f>H95-H96</f>
        <v>-3103899</v>
      </c>
      <c r="I94" s="23">
        <f>I95-I96</f>
        <v>-1513934</v>
      </c>
    </row>
    <row r="95" spans="1:9" ht="12.75" customHeight="1" x14ac:dyDescent="0.2">
      <c r="A95" s="192" t="s">
        <v>74</v>
      </c>
      <c r="B95" s="192"/>
      <c r="C95" s="192"/>
      <c r="D95" s="192"/>
      <c r="E95" s="192"/>
      <c r="F95" s="192"/>
      <c r="G95" s="14">
        <v>87</v>
      </c>
      <c r="H95" s="22">
        <v>0</v>
      </c>
      <c r="I95" s="22">
        <v>0</v>
      </c>
    </row>
    <row r="96" spans="1:9" ht="12.75" customHeight="1" x14ac:dyDescent="0.2">
      <c r="A96" s="192" t="s">
        <v>75</v>
      </c>
      <c r="B96" s="192"/>
      <c r="C96" s="192"/>
      <c r="D96" s="192"/>
      <c r="E96" s="192"/>
      <c r="F96" s="192"/>
      <c r="G96" s="14">
        <v>88</v>
      </c>
      <c r="H96" s="22">
        <v>3103899</v>
      </c>
      <c r="I96" s="22">
        <f>-RDG!J68</f>
        <v>1513934</v>
      </c>
    </row>
    <row r="97" spans="1:9" ht="12.75" customHeight="1" x14ac:dyDescent="0.2">
      <c r="A97" s="192" t="s">
        <v>76</v>
      </c>
      <c r="B97" s="192"/>
      <c r="C97" s="192"/>
      <c r="D97" s="192"/>
      <c r="E97" s="192"/>
      <c r="F97" s="192"/>
      <c r="G97" s="14">
        <v>89</v>
      </c>
      <c r="H97" s="22">
        <v>0</v>
      </c>
      <c r="I97" s="22">
        <v>0</v>
      </c>
    </row>
    <row r="98" spans="1:9" ht="12.75" customHeight="1" x14ac:dyDescent="0.2">
      <c r="A98" s="194" t="s">
        <v>355</v>
      </c>
      <c r="B98" s="194"/>
      <c r="C98" s="194"/>
      <c r="D98" s="194"/>
      <c r="E98" s="194"/>
      <c r="F98" s="194"/>
      <c r="G98" s="15">
        <v>90</v>
      </c>
      <c r="H98" s="23">
        <f>SUM(H99:H104)</f>
        <v>0</v>
      </c>
      <c r="I98" s="23">
        <f>SUM(I99:I104)</f>
        <v>0</v>
      </c>
    </row>
    <row r="99" spans="1:9" ht="12.75" customHeight="1" x14ac:dyDescent="0.2">
      <c r="A99" s="192" t="s">
        <v>77</v>
      </c>
      <c r="B99" s="192"/>
      <c r="C99" s="192"/>
      <c r="D99" s="192"/>
      <c r="E99" s="192"/>
      <c r="F99" s="192"/>
      <c r="G99" s="14">
        <v>91</v>
      </c>
      <c r="H99" s="22">
        <v>0</v>
      </c>
      <c r="I99" s="22">
        <v>0</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0</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0</v>
      </c>
      <c r="I104" s="22">
        <v>0</v>
      </c>
    </row>
    <row r="105" spans="1:9" ht="12.75" customHeight="1" x14ac:dyDescent="0.2">
      <c r="A105" s="194" t="s">
        <v>356</v>
      </c>
      <c r="B105" s="194"/>
      <c r="C105" s="194"/>
      <c r="D105" s="194"/>
      <c r="E105" s="194"/>
      <c r="F105" s="194"/>
      <c r="G105" s="15">
        <v>97</v>
      </c>
      <c r="H105" s="23">
        <f>SUM(H106:H116)</f>
        <v>33224955</v>
      </c>
      <c r="I105" s="23">
        <f>SUM(I106:I116)</f>
        <v>32846901</v>
      </c>
    </row>
    <row r="106" spans="1:9" ht="12.75" customHeight="1" x14ac:dyDescent="0.2">
      <c r="A106" s="192" t="s">
        <v>83</v>
      </c>
      <c r="B106" s="192"/>
      <c r="C106" s="192"/>
      <c r="D106" s="192"/>
      <c r="E106" s="192"/>
      <c r="F106" s="192"/>
      <c r="G106" s="14">
        <v>98</v>
      </c>
      <c r="H106" s="22">
        <v>30469172</v>
      </c>
      <c r="I106" s="22">
        <f>30615685-146513</f>
        <v>30469172</v>
      </c>
    </row>
    <row r="107" spans="1:9" ht="24.6" customHeight="1" x14ac:dyDescent="0.2">
      <c r="A107" s="192" t="s">
        <v>84</v>
      </c>
      <c r="B107" s="192"/>
      <c r="C107" s="192"/>
      <c r="D107" s="192"/>
      <c r="E107" s="192"/>
      <c r="F107" s="192"/>
      <c r="G107" s="14">
        <v>99</v>
      </c>
      <c r="H107" s="22">
        <v>0</v>
      </c>
      <c r="I107" s="22">
        <f>146513</f>
        <v>146513</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1096760</v>
      </c>
      <c r="I110" s="22">
        <f>1125220</f>
        <v>1125220</v>
      </c>
    </row>
    <row r="111" spans="1:9" ht="12.75" customHeight="1" x14ac:dyDescent="0.2">
      <c r="A111" s="192" t="s">
        <v>88</v>
      </c>
      <c r="B111" s="192"/>
      <c r="C111" s="192"/>
      <c r="D111" s="192"/>
      <c r="E111" s="192"/>
      <c r="F111" s="192"/>
      <c r="G111" s="14">
        <v>103</v>
      </c>
      <c r="H111" s="22">
        <v>0</v>
      </c>
      <c r="I111" s="22">
        <v>0</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361848</v>
      </c>
      <c r="I113" s="22">
        <f>241212</f>
        <v>241212</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1297175</v>
      </c>
      <c r="I115" s="22">
        <f>26392+838392</f>
        <v>864784</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357</v>
      </c>
      <c r="B117" s="194"/>
      <c r="C117" s="194"/>
      <c r="D117" s="194"/>
      <c r="E117" s="194"/>
      <c r="F117" s="194"/>
      <c r="G117" s="15">
        <v>109</v>
      </c>
      <c r="H117" s="23">
        <f>SUM(H118:H131)</f>
        <v>20265566</v>
      </c>
      <c r="I117" s="23">
        <f>SUM(I118:I131)</f>
        <v>15422649</v>
      </c>
    </row>
    <row r="118" spans="1:9" ht="12.75" customHeight="1" x14ac:dyDescent="0.2">
      <c r="A118" s="192" t="s">
        <v>83</v>
      </c>
      <c r="B118" s="192"/>
      <c r="C118" s="192"/>
      <c r="D118" s="192"/>
      <c r="E118" s="192"/>
      <c r="F118" s="192"/>
      <c r="G118" s="14">
        <v>110</v>
      </c>
      <c r="H118" s="22">
        <v>1593611</v>
      </c>
      <c r="I118" s="22">
        <f>315334+432938+1071102+16312</f>
        <v>1835686</v>
      </c>
    </row>
    <row r="119" spans="1:9" ht="22.15" customHeight="1" x14ac:dyDescent="0.2">
      <c r="A119" s="192" t="s">
        <v>84</v>
      </c>
      <c r="B119" s="192"/>
      <c r="C119" s="192"/>
      <c r="D119" s="192"/>
      <c r="E119" s="192"/>
      <c r="F119" s="192"/>
      <c r="G119" s="14">
        <v>111</v>
      </c>
      <c r="H119" s="22">
        <v>10737904</v>
      </c>
      <c r="I119" s="22">
        <f>5002921+146611</f>
        <v>5149532</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5607383</v>
      </c>
      <c r="I122" s="22">
        <f>5216694</f>
        <v>5216694</v>
      </c>
    </row>
    <row r="123" spans="1:9" ht="12.75" customHeight="1" x14ac:dyDescent="0.2">
      <c r="A123" s="192" t="s">
        <v>88</v>
      </c>
      <c r="B123" s="192"/>
      <c r="C123" s="192"/>
      <c r="D123" s="192"/>
      <c r="E123" s="192"/>
      <c r="F123" s="192"/>
      <c r="G123" s="14">
        <v>115</v>
      </c>
      <c r="H123" s="22">
        <v>0</v>
      </c>
      <c r="I123" s="22">
        <v>0</v>
      </c>
    </row>
    <row r="124" spans="1:9" ht="12.75" customHeight="1" x14ac:dyDescent="0.2">
      <c r="A124" s="192" t="s">
        <v>89</v>
      </c>
      <c r="B124" s="192"/>
      <c r="C124" s="192"/>
      <c r="D124" s="192"/>
      <c r="E124" s="192"/>
      <c r="F124" s="192"/>
      <c r="G124" s="14">
        <v>116</v>
      </c>
      <c r="H124" s="22">
        <v>0</v>
      </c>
      <c r="I124" s="22">
        <v>0</v>
      </c>
    </row>
    <row r="125" spans="1:9" ht="12.75" customHeight="1" x14ac:dyDescent="0.2">
      <c r="A125" s="192" t="s">
        <v>90</v>
      </c>
      <c r="B125" s="192"/>
      <c r="C125" s="192"/>
      <c r="D125" s="192"/>
      <c r="E125" s="192"/>
      <c r="F125" s="192"/>
      <c r="G125" s="14">
        <v>117</v>
      </c>
      <c r="H125" s="22">
        <v>1244521</v>
      </c>
      <c r="I125" s="22">
        <f>467429+203352+311948</f>
        <v>982729</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34557</v>
      </c>
      <c r="I127" s="22">
        <f>178693</f>
        <v>178693</v>
      </c>
    </row>
    <row r="128" spans="1:9" x14ac:dyDescent="0.2">
      <c r="A128" s="192" t="s">
        <v>95</v>
      </c>
      <c r="B128" s="192"/>
      <c r="C128" s="192"/>
      <c r="D128" s="192"/>
      <c r="E128" s="192"/>
      <c r="F128" s="192"/>
      <c r="G128" s="14">
        <v>120</v>
      </c>
      <c r="H128" s="22">
        <v>1013497</v>
      </c>
      <c r="I128" s="22">
        <f>160524+9844+72663-6092+42+6705+1069081</f>
        <v>1312767</v>
      </c>
    </row>
    <row r="129" spans="1:9" x14ac:dyDescent="0.2">
      <c r="A129" s="192" t="s">
        <v>96</v>
      </c>
      <c r="B129" s="192"/>
      <c r="C129" s="192"/>
      <c r="D129" s="192"/>
      <c r="E129" s="192"/>
      <c r="F129" s="192"/>
      <c r="G129" s="14">
        <v>121</v>
      </c>
      <c r="H129" s="22">
        <v>0</v>
      </c>
      <c r="I129" s="22">
        <v>0</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34093</v>
      </c>
      <c r="I131" s="22">
        <f>31500+708448+6600</f>
        <v>746548</v>
      </c>
    </row>
    <row r="132" spans="1:9" ht="22.15" customHeight="1" x14ac:dyDescent="0.2">
      <c r="A132" s="193" t="s">
        <v>99</v>
      </c>
      <c r="B132" s="193"/>
      <c r="C132" s="193"/>
      <c r="D132" s="193"/>
      <c r="E132" s="193"/>
      <c r="F132" s="193"/>
      <c r="G132" s="14">
        <v>124</v>
      </c>
      <c r="H132" s="22">
        <v>6090168</v>
      </c>
      <c r="I132" s="22">
        <f>5727008</f>
        <v>5727008</v>
      </c>
    </row>
    <row r="133" spans="1:9" ht="12.75" customHeight="1" x14ac:dyDescent="0.2">
      <c r="A133" s="194" t="s">
        <v>358</v>
      </c>
      <c r="B133" s="194"/>
      <c r="C133" s="194"/>
      <c r="D133" s="194"/>
      <c r="E133" s="194"/>
      <c r="F133" s="194"/>
      <c r="G133" s="15">
        <v>125</v>
      </c>
      <c r="H133" s="23">
        <f>H75+H98+H105+H117+H132</f>
        <v>153319803</v>
      </c>
      <c r="I133" s="23">
        <f>I75+I98+I105+I117+I132</f>
        <v>146221738</v>
      </c>
    </row>
    <row r="134" spans="1:9" x14ac:dyDescent="0.2">
      <c r="A134" s="193" t="s">
        <v>100</v>
      </c>
      <c r="B134" s="193"/>
      <c r="C134" s="193"/>
      <c r="D134" s="193"/>
      <c r="E134" s="193"/>
      <c r="F134" s="193"/>
      <c r="G134" s="14">
        <v>126</v>
      </c>
      <c r="H134" s="22">
        <v>0</v>
      </c>
      <c r="I134" s="22">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rintOptions horizontalCentered="1"/>
  <pageMargins left="0.39370078740157483" right="0.19685039370078741" top="0.98425196850393704" bottom="0.98425196850393704" header="0.51181102362204722" footer="0.51181102362204722"/>
  <pageSetup paperSize="9"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tabSelected="1" topLeftCell="A7" zoomScaleNormal="100" zoomScaleSheetLayoutView="110" workbookViewId="0">
      <selection activeCell="K9" sqref="K9"/>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4" x14ac:dyDescent="0.2">
      <c r="A1" s="230" t="s">
        <v>102</v>
      </c>
      <c r="B1" s="231"/>
      <c r="C1" s="231"/>
      <c r="D1" s="231"/>
      <c r="E1" s="231"/>
      <c r="F1" s="231"/>
      <c r="G1" s="231"/>
      <c r="H1" s="231"/>
      <c r="I1" s="231"/>
    </row>
    <row r="2" spans="1:14" x14ac:dyDescent="0.2">
      <c r="A2" s="232" t="s">
        <v>465</v>
      </c>
      <c r="B2" s="233"/>
      <c r="C2" s="233"/>
      <c r="D2" s="233"/>
      <c r="E2" s="233"/>
      <c r="F2" s="233"/>
      <c r="G2" s="233"/>
      <c r="H2" s="233"/>
      <c r="I2" s="233"/>
    </row>
    <row r="3" spans="1:14" x14ac:dyDescent="0.2">
      <c r="A3" s="234" t="s">
        <v>282</v>
      </c>
      <c r="B3" s="235"/>
      <c r="C3" s="235"/>
      <c r="D3" s="235"/>
      <c r="E3" s="235"/>
      <c r="F3" s="235"/>
      <c r="G3" s="235"/>
      <c r="H3" s="235"/>
      <c r="I3" s="235"/>
      <c r="J3" s="236"/>
      <c r="K3" s="236"/>
    </row>
    <row r="4" spans="1:14" x14ac:dyDescent="0.2">
      <c r="A4" s="237" t="s">
        <v>463</v>
      </c>
      <c r="B4" s="238"/>
      <c r="C4" s="238"/>
      <c r="D4" s="238"/>
      <c r="E4" s="238"/>
      <c r="F4" s="238"/>
      <c r="G4" s="238"/>
      <c r="H4" s="238"/>
      <c r="I4" s="238"/>
      <c r="J4" s="239"/>
      <c r="K4" s="239"/>
    </row>
    <row r="5" spans="1:14" ht="22.15" customHeight="1" x14ac:dyDescent="0.2">
      <c r="A5" s="240" t="s">
        <v>2</v>
      </c>
      <c r="B5" s="241"/>
      <c r="C5" s="241"/>
      <c r="D5" s="241"/>
      <c r="E5" s="241"/>
      <c r="F5" s="241"/>
      <c r="G5" s="240" t="s">
        <v>103</v>
      </c>
      <c r="H5" s="242" t="s">
        <v>302</v>
      </c>
      <c r="I5" s="243"/>
      <c r="J5" s="242" t="s">
        <v>279</v>
      </c>
      <c r="K5" s="243"/>
    </row>
    <row r="6" spans="1:14" ht="22.5" x14ac:dyDescent="0.2">
      <c r="A6" s="241"/>
      <c r="B6" s="241"/>
      <c r="C6" s="241"/>
      <c r="D6" s="241"/>
      <c r="E6" s="241"/>
      <c r="F6" s="241"/>
      <c r="G6" s="241"/>
      <c r="H6" s="105" t="s">
        <v>295</v>
      </c>
      <c r="I6" s="105" t="s">
        <v>296</v>
      </c>
      <c r="J6" s="105" t="s">
        <v>295</v>
      </c>
      <c r="K6" s="105" t="s">
        <v>296</v>
      </c>
    </row>
    <row r="7" spans="1:14" x14ac:dyDescent="0.2">
      <c r="A7" s="228">
        <v>1</v>
      </c>
      <c r="B7" s="229"/>
      <c r="C7" s="229"/>
      <c r="D7" s="229"/>
      <c r="E7" s="229"/>
      <c r="F7" s="229"/>
      <c r="G7" s="106">
        <v>2</v>
      </c>
      <c r="H7" s="105">
        <v>3</v>
      </c>
      <c r="I7" s="105">
        <v>4</v>
      </c>
      <c r="J7" s="105">
        <v>5</v>
      </c>
      <c r="K7" s="105">
        <v>6</v>
      </c>
    </row>
    <row r="8" spans="1:14" ht="12.75" customHeight="1" x14ac:dyDescent="0.2">
      <c r="A8" s="224" t="s">
        <v>359</v>
      </c>
      <c r="B8" s="224"/>
      <c r="C8" s="224"/>
      <c r="D8" s="224"/>
      <c r="E8" s="224"/>
      <c r="F8" s="224"/>
      <c r="G8" s="15">
        <v>1</v>
      </c>
      <c r="H8" s="107">
        <f>SUM(H9:H13)</f>
        <v>2557125</v>
      </c>
      <c r="I8" s="107">
        <f>SUM(I9:I13)</f>
        <v>1012781</v>
      </c>
      <c r="J8" s="107">
        <f>SUM(J9:J13)</f>
        <v>6187527</v>
      </c>
      <c r="K8" s="107">
        <f>SUM(K9:K13)</f>
        <v>1991572</v>
      </c>
      <c r="M8" s="131"/>
      <c r="N8" s="131"/>
    </row>
    <row r="9" spans="1:14" ht="12.75" customHeight="1" x14ac:dyDescent="0.2">
      <c r="A9" s="192" t="s">
        <v>115</v>
      </c>
      <c r="B9" s="192"/>
      <c r="C9" s="192"/>
      <c r="D9" s="192"/>
      <c r="E9" s="192"/>
      <c r="F9" s="192"/>
      <c r="G9" s="14">
        <v>2</v>
      </c>
      <c r="H9" s="108">
        <v>2098703</v>
      </c>
      <c r="I9" s="108">
        <f>13791+360000+1</f>
        <v>373792</v>
      </c>
      <c r="J9" s="108">
        <f>45483+4760000</f>
        <v>4805483</v>
      </c>
      <c r="K9" s="108">
        <f>11773+1280000+1</f>
        <v>1291774</v>
      </c>
    </row>
    <row r="10" spans="1:14" ht="12.75" customHeight="1" x14ac:dyDescent="0.2">
      <c r="A10" s="192" t="s">
        <v>116</v>
      </c>
      <c r="B10" s="192"/>
      <c r="C10" s="192"/>
      <c r="D10" s="192"/>
      <c r="E10" s="192"/>
      <c r="F10" s="192"/>
      <c r="G10" s="14">
        <v>3</v>
      </c>
      <c r="H10" s="108">
        <v>161831</v>
      </c>
      <c r="I10" s="108">
        <f>67785+3588+364112+40664</f>
        <v>476149</v>
      </c>
      <c r="J10" s="108">
        <f>512946+22659+363159+192738</f>
        <v>1091502</v>
      </c>
      <c r="K10" s="108">
        <f>231176+5664+363159+45074</f>
        <v>645073</v>
      </c>
    </row>
    <row r="11" spans="1:14" ht="12.75" customHeight="1" x14ac:dyDescent="0.2">
      <c r="A11" s="192" t="s">
        <v>117</v>
      </c>
      <c r="B11" s="192"/>
      <c r="C11" s="192"/>
      <c r="D11" s="192"/>
      <c r="E11" s="192"/>
      <c r="F11" s="192"/>
      <c r="G11" s="14">
        <v>4</v>
      </c>
      <c r="H11" s="108">
        <v>0</v>
      </c>
      <c r="I11" s="108">
        <v>0</v>
      </c>
      <c r="J11" s="108">
        <v>0</v>
      </c>
      <c r="K11" s="108">
        <v>0</v>
      </c>
    </row>
    <row r="12" spans="1:14" ht="12.75" customHeight="1" x14ac:dyDescent="0.2">
      <c r="A12" s="192" t="s">
        <v>118</v>
      </c>
      <c r="B12" s="192"/>
      <c r="C12" s="192"/>
      <c r="D12" s="192"/>
      <c r="E12" s="192"/>
      <c r="F12" s="192"/>
      <c r="G12" s="14">
        <v>5</v>
      </c>
      <c r="H12" s="108">
        <v>0</v>
      </c>
      <c r="I12" s="108">
        <v>0</v>
      </c>
      <c r="J12" s="108">
        <f>63128</f>
        <v>63128</v>
      </c>
      <c r="K12" s="108">
        <v>0</v>
      </c>
    </row>
    <row r="13" spans="1:14" ht="12.75" customHeight="1" x14ac:dyDescent="0.2">
      <c r="A13" s="192" t="s">
        <v>119</v>
      </c>
      <c r="B13" s="192"/>
      <c r="C13" s="192"/>
      <c r="D13" s="192"/>
      <c r="E13" s="192"/>
      <c r="F13" s="192"/>
      <c r="G13" s="14">
        <v>6</v>
      </c>
      <c r="H13" s="108">
        <v>296591</v>
      </c>
      <c r="I13" s="108">
        <f>1825+90+160925</f>
        <v>162840</v>
      </c>
      <c r="J13" s="108">
        <f>13055+1670+28543+6425+177720+1</f>
        <v>227414</v>
      </c>
      <c r="K13" s="108">
        <f>5+54720</f>
        <v>54725</v>
      </c>
    </row>
    <row r="14" spans="1:14" ht="12.75" customHeight="1" x14ac:dyDescent="0.2">
      <c r="A14" s="224" t="s">
        <v>360</v>
      </c>
      <c r="B14" s="224"/>
      <c r="C14" s="224"/>
      <c r="D14" s="224"/>
      <c r="E14" s="224"/>
      <c r="F14" s="224"/>
      <c r="G14" s="15">
        <v>7</v>
      </c>
      <c r="H14" s="107">
        <f>H15+H16+H20+H24+H25+H26+H29+H36</f>
        <v>5567799</v>
      </c>
      <c r="I14" s="107">
        <f>I15+I16+I20+I24+I25+I26+I29+I36</f>
        <v>1155882</v>
      </c>
      <c r="J14" s="107">
        <f>J15+J16+J20+J24+J25+J26+J29+J36</f>
        <v>6320111</v>
      </c>
      <c r="K14" s="107">
        <f>K15+K16+K20+K24+K25+K26+K29+K36</f>
        <v>1766860</v>
      </c>
      <c r="N14" s="131"/>
    </row>
    <row r="15" spans="1:14" ht="12.75" customHeight="1" x14ac:dyDescent="0.2">
      <c r="A15" s="192" t="s">
        <v>104</v>
      </c>
      <c r="B15" s="192"/>
      <c r="C15" s="192"/>
      <c r="D15" s="192"/>
      <c r="E15" s="192"/>
      <c r="F15" s="192"/>
      <c r="G15" s="14">
        <v>8</v>
      </c>
      <c r="H15" s="108">
        <v>0</v>
      </c>
      <c r="I15" s="108">
        <v>0</v>
      </c>
      <c r="J15" s="108">
        <v>0</v>
      </c>
      <c r="K15" s="108">
        <v>0</v>
      </c>
    </row>
    <row r="16" spans="1:14" ht="12.75" customHeight="1" x14ac:dyDescent="0.2">
      <c r="A16" s="196" t="s">
        <v>440</v>
      </c>
      <c r="B16" s="196"/>
      <c r="C16" s="196"/>
      <c r="D16" s="196"/>
      <c r="E16" s="196"/>
      <c r="F16" s="196"/>
      <c r="G16" s="15">
        <v>9</v>
      </c>
      <c r="H16" s="107">
        <f>SUM(H17:H19)</f>
        <v>1289527</v>
      </c>
      <c r="I16" s="107">
        <f>SUM(I17:I19)</f>
        <v>159109</v>
      </c>
      <c r="J16" s="107">
        <f>SUM(J17:J19)</f>
        <v>1610586</v>
      </c>
      <c r="K16" s="107">
        <f>SUM(K17:K19)</f>
        <v>447535</v>
      </c>
      <c r="M16" s="131"/>
      <c r="N16" s="131"/>
    </row>
    <row r="17" spans="1:14" ht="12.75" customHeight="1" x14ac:dyDescent="0.2">
      <c r="A17" s="227" t="s">
        <v>120</v>
      </c>
      <c r="B17" s="227"/>
      <c r="C17" s="227"/>
      <c r="D17" s="227"/>
      <c r="E17" s="227"/>
      <c r="F17" s="227"/>
      <c r="G17" s="14">
        <v>10</v>
      </c>
      <c r="H17" s="108">
        <v>178232</v>
      </c>
      <c r="I17" s="108">
        <f>10530</f>
        <v>10530</v>
      </c>
      <c r="J17" s="108">
        <f>404678</f>
        <v>404678</v>
      </c>
      <c r="K17" s="108">
        <f>43601</f>
        <v>43601</v>
      </c>
    </row>
    <row r="18" spans="1:14" ht="12.75" customHeight="1" x14ac:dyDescent="0.2">
      <c r="A18" s="227" t="s">
        <v>121</v>
      </c>
      <c r="B18" s="227"/>
      <c r="C18" s="227"/>
      <c r="D18" s="227"/>
      <c r="E18" s="227"/>
      <c r="F18" s="227"/>
      <c r="G18" s="14">
        <v>11</v>
      </c>
      <c r="H18" s="108">
        <v>0</v>
      </c>
      <c r="I18" s="108">
        <v>0</v>
      </c>
      <c r="J18" s="108">
        <v>0</v>
      </c>
      <c r="K18" s="108">
        <v>0</v>
      </c>
    </row>
    <row r="19" spans="1:14" ht="12.75" customHeight="1" x14ac:dyDescent="0.2">
      <c r="A19" s="227" t="s">
        <v>122</v>
      </c>
      <c r="B19" s="227"/>
      <c r="C19" s="227"/>
      <c r="D19" s="227"/>
      <c r="E19" s="227"/>
      <c r="F19" s="227"/>
      <c r="G19" s="14">
        <v>12</v>
      </c>
      <c r="H19" s="108">
        <v>1111295</v>
      </c>
      <c r="I19" s="108">
        <f>148579</f>
        <v>148579</v>
      </c>
      <c r="J19" s="108">
        <f>1205908</f>
        <v>1205908</v>
      </c>
      <c r="K19" s="108">
        <f>403934</f>
        <v>403934</v>
      </c>
    </row>
    <row r="20" spans="1:14" ht="12.75" customHeight="1" x14ac:dyDescent="0.2">
      <c r="A20" s="196" t="s">
        <v>441</v>
      </c>
      <c r="B20" s="196"/>
      <c r="C20" s="196"/>
      <c r="D20" s="196"/>
      <c r="E20" s="196"/>
      <c r="F20" s="196"/>
      <c r="G20" s="15">
        <v>13</v>
      </c>
      <c r="H20" s="107">
        <f>SUM(H21:H23)</f>
        <v>1106060</v>
      </c>
      <c r="I20" s="107">
        <f>SUM(I21:I23)</f>
        <v>161875</v>
      </c>
      <c r="J20" s="107">
        <f>SUM(J21:J23)</f>
        <v>914160</v>
      </c>
      <c r="K20" s="107">
        <f>SUM(K21:K23)</f>
        <v>393634</v>
      </c>
      <c r="M20" s="131"/>
      <c r="N20" s="131"/>
    </row>
    <row r="21" spans="1:14" ht="12.75" customHeight="1" x14ac:dyDescent="0.2">
      <c r="A21" s="227" t="s">
        <v>105</v>
      </c>
      <c r="B21" s="227"/>
      <c r="C21" s="227"/>
      <c r="D21" s="227"/>
      <c r="E21" s="227"/>
      <c r="F21" s="227"/>
      <c r="G21" s="14">
        <v>14</v>
      </c>
      <c r="H21" s="108">
        <v>749789</v>
      </c>
      <c r="I21" s="108">
        <f>108287</f>
        <v>108287</v>
      </c>
      <c r="J21" s="108">
        <f>603189</f>
        <v>603189</v>
      </c>
      <c r="K21" s="108">
        <f>258774</f>
        <v>258774</v>
      </c>
    </row>
    <row r="22" spans="1:14" ht="12.75" customHeight="1" x14ac:dyDescent="0.2">
      <c r="A22" s="227" t="s">
        <v>106</v>
      </c>
      <c r="B22" s="227"/>
      <c r="C22" s="227"/>
      <c r="D22" s="227"/>
      <c r="E22" s="227"/>
      <c r="F22" s="227"/>
      <c r="G22" s="14">
        <v>15</v>
      </c>
      <c r="H22" s="108">
        <v>257482</v>
      </c>
      <c r="I22" s="108">
        <f>16565+4549+14487+567+1</f>
        <v>36169</v>
      </c>
      <c r="J22" s="108">
        <f>114416+34209+40181+2978</f>
        <v>191784</v>
      </c>
      <c r="K22" s="108">
        <f>52767+15398+12627+1260</f>
        <v>82052</v>
      </c>
    </row>
    <row r="23" spans="1:14" ht="12.75" customHeight="1" x14ac:dyDescent="0.2">
      <c r="A23" s="227" t="s">
        <v>107</v>
      </c>
      <c r="B23" s="227"/>
      <c r="C23" s="227"/>
      <c r="D23" s="227"/>
      <c r="E23" s="227"/>
      <c r="F23" s="227"/>
      <c r="G23" s="14">
        <v>16</v>
      </c>
      <c r="H23" s="108">
        <v>98789</v>
      </c>
      <c r="I23" s="108">
        <f>17419</f>
        <v>17419</v>
      </c>
      <c r="J23" s="108">
        <f>119187</f>
        <v>119187</v>
      </c>
      <c r="K23" s="108">
        <f>52808</f>
        <v>52808</v>
      </c>
    </row>
    <row r="24" spans="1:14" ht="12.75" customHeight="1" x14ac:dyDescent="0.2">
      <c r="A24" s="192" t="s">
        <v>108</v>
      </c>
      <c r="B24" s="192"/>
      <c r="C24" s="192"/>
      <c r="D24" s="192"/>
      <c r="E24" s="192"/>
      <c r="F24" s="192"/>
      <c r="G24" s="14">
        <v>17</v>
      </c>
      <c r="H24" s="108">
        <v>2854661</v>
      </c>
      <c r="I24" s="108">
        <f>721651</f>
        <v>721651</v>
      </c>
      <c r="J24" s="108">
        <f>2872136</f>
        <v>2872136</v>
      </c>
      <c r="K24" s="108">
        <f>728696</f>
        <v>728696</v>
      </c>
    </row>
    <row r="25" spans="1:14" ht="12.75" customHeight="1" x14ac:dyDescent="0.2">
      <c r="A25" s="192" t="s">
        <v>109</v>
      </c>
      <c r="B25" s="192"/>
      <c r="C25" s="192"/>
      <c r="D25" s="192"/>
      <c r="E25" s="192"/>
      <c r="F25" s="192"/>
      <c r="G25" s="14">
        <v>18</v>
      </c>
      <c r="H25" s="108">
        <v>209018</v>
      </c>
      <c r="I25" s="108">
        <f>5723</f>
        <v>5723</v>
      </c>
      <c r="J25" s="108">
        <f>408323</f>
        <v>408323</v>
      </c>
      <c r="K25" s="108">
        <f>108821</f>
        <v>108821</v>
      </c>
    </row>
    <row r="26" spans="1:14" ht="12.75" customHeight="1" x14ac:dyDescent="0.2">
      <c r="A26" s="196" t="s">
        <v>442</v>
      </c>
      <c r="B26" s="196"/>
      <c r="C26" s="196"/>
      <c r="D26" s="196"/>
      <c r="E26" s="196"/>
      <c r="F26" s="196"/>
      <c r="G26" s="15">
        <v>19</v>
      </c>
      <c r="H26" s="107">
        <f>H27+H28</f>
        <v>0</v>
      </c>
      <c r="I26" s="107">
        <f>I27+I28</f>
        <v>0</v>
      </c>
      <c r="J26" s="107">
        <f>J27+J28</f>
        <v>0</v>
      </c>
      <c r="K26" s="107">
        <f>K27+K28</f>
        <v>0</v>
      </c>
    </row>
    <row r="27" spans="1:14" ht="12.75" customHeight="1" x14ac:dyDescent="0.2">
      <c r="A27" s="227" t="s">
        <v>123</v>
      </c>
      <c r="B27" s="227"/>
      <c r="C27" s="227"/>
      <c r="D27" s="227"/>
      <c r="E27" s="227"/>
      <c r="F27" s="227"/>
      <c r="G27" s="14">
        <v>20</v>
      </c>
      <c r="H27" s="108">
        <v>0</v>
      </c>
      <c r="I27" s="108">
        <v>0</v>
      </c>
      <c r="J27" s="108">
        <v>0</v>
      </c>
      <c r="K27" s="108">
        <v>0</v>
      </c>
    </row>
    <row r="28" spans="1:14" ht="12.75" customHeight="1" x14ac:dyDescent="0.2">
      <c r="A28" s="227" t="s">
        <v>124</v>
      </c>
      <c r="B28" s="227"/>
      <c r="C28" s="227"/>
      <c r="D28" s="227"/>
      <c r="E28" s="227"/>
      <c r="F28" s="227"/>
      <c r="G28" s="14">
        <v>21</v>
      </c>
      <c r="H28" s="108">
        <v>0</v>
      </c>
      <c r="I28" s="108">
        <v>0</v>
      </c>
      <c r="J28" s="108">
        <v>0</v>
      </c>
      <c r="K28" s="108">
        <v>0</v>
      </c>
    </row>
    <row r="29" spans="1:14" ht="12.75" customHeight="1" x14ac:dyDescent="0.2">
      <c r="A29" s="196" t="s">
        <v>443</v>
      </c>
      <c r="B29" s="196"/>
      <c r="C29" s="196"/>
      <c r="D29" s="196"/>
      <c r="E29" s="196"/>
      <c r="F29" s="196"/>
      <c r="G29" s="15">
        <v>22</v>
      </c>
      <c r="H29" s="107">
        <f>SUM(H30:H35)</f>
        <v>0</v>
      </c>
      <c r="I29" s="107">
        <f>SUM(I30:I35)</f>
        <v>0</v>
      </c>
      <c r="J29" s="107">
        <f>SUM(J30:J35)</f>
        <v>0</v>
      </c>
      <c r="K29" s="107">
        <f>SUM(K30:K35)</f>
        <v>0</v>
      </c>
    </row>
    <row r="30" spans="1:14" ht="12.75" customHeight="1" x14ac:dyDescent="0.2">
      <c r="A30" s="227" t="s">
        <v>125</v>
      </c>
      <c r="B30" s="227"/>
      <c r="C30" s="227"/>
      <c r="D30" s="227"/>
      <c r="E30" s="227"/>
      <c r="F30" s="227"/>
      <c r="G30" s="14">
        <v>23</v>
      </c>
      <c r="H30" s="108">
        <v>0</v>
      </c>
      <c r="I30" s="108">
        <v>0</v>
      </c>
      <c r="J30" s="108">
        <v>0</v>
      </c>
      <c r="K30" s="108">
        <v>0</v>
      </c>
    </row>
    <row r="31" spans="1:14" ht="12.75" customHeight="1" x14ac:dyDescent="0.2">
      <c r="A31" s="227" t="s">
        <v>126</v>
      </c>
      <c r="B31" s="227"/>
      <c r="C31" s="227"/>
      <c r="D31" s="227"/>
      <c r="E31" s="227"/>
      <c r="F31" s="227"/>
      <c r="G31" s="14">
        <v>24</v>
      </c>
      <c r="H31" s="108">
        <v>0</v>
      </c>
      <c r="I31" s="108">
        <v>0</v>
      </c>
      <c r="J31" s="108">
        <v>0</v>
      </c>
      <c r="K31" s="108">
        <v>0</v>
      </c>
    </row>
    <row r="32" spans="1:14" ht="12.75" customHeight="1" x14ac:dyDescent="0.2">
      <c r="A32" s="227" t="s">
        <v>127</v>
      </c>
      <c r="B32" s="227"/>
      <c r="C32" s="227"/>
      <c r="D32" s="227"/>
      <c r="E32" s="227"/>
      <c r="F32" s="227"/>
      <c r="G32" s="14">
        <v>25</v>
      </c>
      <c r="H32" s="108">
        <v>0</v>
      </c>
      <c r="I32" s="108">
        <v>0</v>
      </c>
      <c r="J32" s="108">
        <v>0</v>
      </c>
      <c r="K32" s="108">
        <v>0</v>
      </c>
    </row>
    <row r="33" spans="1:13" ht="12.75" customHeight="1" x14ac:dyDescent="0.2">
      <c r="A33" s="227" t="s">
        <v>128</v>
      </c>
      <c r="B33" s="227"/>
      <c r="C33" s="227"/>
      <c r="D33" s="227"/>
      <c r="E33" s="227"/>
      <c r="F33" s="227"/>
      <c r="G33" s="14">
        <v>26</v>
      </c>
      <c r="H33" s="108">
        <v>0</v>
      </c>
      <c r="I33" s="108">
        <v>0</v>
      </c>
      <c r="J33" s="108">
        <v>0</v>
      </c>
      <c r="K33" s="108">
        <v>0</v>
      </c>
    </row>
    <row r="34" spans="1:13" ht="12.75" customHeight="1" x14ac:dyDescent="0.2">
      <c r="A34" s="227" t="s">
        <v>129</v>
      </c>
      <c r="B34" s="227"/>
      <c r="C34" s="227"/>
      <c r="D34" s="227"/>
      <c r="E34" s="227"/>
      <c r="F34" s="227"/>
      <c r="G34" s="14">
        <v>27</v>
      </c>
      <c r="H34" s="108">
        <v>0</v>
      </c>
      <c r="I34" s="108">
        <v>0</v>
      </c>
      <c r="J34" s="108">
        <v>0</v>
      </c>
      <c r="K34" s="108">
        <v>0</v>
      </c>
    </row>
    <row r="35" spans="1:13" ht="12.75" customHeight="1" x14ac:dyDescent="0.2">
      <c r="A35" s="227" t="s">
        <v>130</v>
      </c>
      <c r="B35" s="227"/>
      <c r="C35" s="227"/>
      <c r="D35" s="227"/>
      <c r="E35" s="227"/>
      <c r="F35" s="227"/>
      <c r="G35" s="14">
        <v>28</v>
      </c>
      <c r="H35" s="108">
        <v>0</v>
      </c>
      <c r="I35" s="108">
        <v>0</v>
      </c>
      <c r="J35" s="108">
        <v>0</v>
      </c>
      <c r="K35" s="108">
        <v>0</v>
      </c>
    </row>
    <row r="36" spans="1:13" ht="12.75" customHeight="1" x14ac:dyDescent="0.2">
      <c r="A36" s="192" t="s">
        <v>110</v>
      </c>
      <c r="B36" s="192"/>
      <c r="C36" s="192"/>
      <c r="D36" s="192"/>
      <c r="E36" s="192"/>
      <c r="F36" s="192"/>
      <c r="G36" s="14">
        <v>29</v>
      </c>
      <c r="H36" s="108">
        <v>108533</v>
      </c>
      <c r="I36" s="108">
        <f>107524</f>
        <v>107524</v>
      </c>
      <c r="J36" s="108">
        <v>514906</v>
      </c>
      <c r="K36" s="108">
        <f>88174</f>
        <v>88174</v>
      </c>
    </row>
    <row r="37" spans="1:13" ht="12.75" customHeight="1" x14ac:dyDescent="0.2">
      <c r="A37" s="224" t="s">
        <v>361</v>
      </c>
      <c r="B37" s="224"/>
      <c r="C37" s="224"/>
      <c r="D37" s="224"/>
      <c r="E37" s="224"/>
      <c r="F37" s="224"/>
      <c r="G37" s="15">
        <v>30</v>
      </c>
      <c r="H37" s="107">
        <f>SUM(H38:H47)</f>
        <v>247906</v>
      </c>
      <c r="I37" s="107">
        <f>SUM(I38:I47)</f>
        <v>138523</v>
      </c>
      <c r="J37" s="107">
        <f>SUM(J38:J47)</f>
        <v>198086</v>
      </c>
      <c r="K37" s="107">
        <f>SUM(K38:K47)</f>
        <v>95443</v>
      </c>
    </row>
    <row r="38" spans="1:13" ht="12.75" customHeight="1" x14ac:dyDescent="0.2">
      <c r="A38" s="192" t="s">
        <v>131</v>
      </c>
      <c r="B38" s="192"/>
      <c r="C38" s="192"/>
      <c r="D38" s="192"/>
      <c r="E38" s="192"/>
      <c r="F38" s="192"/>
      <c r="G38" s="14">
        <v>31</v>
      </c>
      <c r="H38" s="108">
        <v>0</v>
      </c>
      <c r="I38" s="108">
        <v>0</v>
      </c>
      <c r="J38" s="108">
        <v>0</v>
      </c>
      <c r="K38" s="108">
        <v>0</v>
      </c>
    </row>
    <row r="39" spans="1:13" ht="25.15" customHeight="1" x14ac:dyDescent="0.2">
      <c r="A39" s="192" t="s">
        <v>132</v>
      </c>
      <c r="B39" s="192"/>
      <c r="C39" s="192"/>
      <c r="D39" s="192"/>
      <c r="E39" s="192"/>
      <c r="F39" s="192"/>
      <c r="G39" s="14">
        <v>32</v>
      </c>
      <c r="H39" s="108">
        <v>0</v>
      </c>
      <c r="I39" s="108">
        <v>0</v>
      </c>
      <c r="J39" s="108">
        <v>0</v>
      </c>
      <c r="K39" s="108">
        <v>0</v>
      </c>
    </row>
    <row r="40" spans="1:13" ht="25.15" customHeight="1" x14ac:dyDescent="0.2">
      <c r="A40" s="192" t="s">
        <v>133</v>
      </c>
      <c r="B40" s="192"/>
      <c r="C40" s="192"/>
      <c r="D40" s="192"/>
      <c r="E40" s="192"/>
      <c r="F40" s="192"/>
      <c r="G40" s="14">
        <v>33</v>
      </c>
      <c r="H40" s="108">
        <v>183027</v>
      </c>
      <c r="I40" s="108">
        <f>82646</f>
        <v>82646</v>
      </c>
      <c r="J40" s="108">
        <f>56605</f>
        <v>56605</v>
      </c>
      <c r="K40" s="108">
        <f>43036</f>
        <v>43036</v>
      </c>
    </row>
    <row r="41" spans="1:13" ht="25.15" customHeight="1" x14ac:dyDescent="0.2">
      <c r="A41" s="192" t="s">
        <v>134</v>
      </c>
      <c r="B41" s="192"/>
      <c r="C41" s="192"/>
      <c r="D41" s="192"/>
      <c r="E41" s="192"/>
      <c r="F41" s="192"/>
      <c r="G41" s="14">
        <v>34</v>
      </c>
      <c r="H41" s="108">
        <v>0</v>
      </c>
      <c r="I41" s="108">
        <v>0</v>
      </c>
      <c r="J41" s="108">
        <v>0</v>
      </c>
      <c r="K41" s="108">
        <v>0</v>
      </c>
    </row>
    <row r="42" spans="1:13" ht="25.15" customHeight="1" x14ac:dyDescent="0.2">
      <c r="A42" s="192" t="s">
        <v>135</v>
      </c>
      <c r="B42" s="192"/>
      <c r="C42" s="192"/>
      <c r="D42" s="192"/>
      <c r="E42" s="192"/>
      <c r="F42" s="192"/>
      <c r="G42" s="14">
        <v>35</v>
      </c>
      <c r="H42" s="108">
        <v>0</v>
      </c>
      <c r="I42" s="108">
        <v>0</v>
      </c>
      <c r="J42" s="108">
        <v>0</v>
      </c>
      <c r="K42" s="108">
        <v>0</v>
      </c>
    </row>
    <row r="43" spans="1:13" ht="12.75" customHeight="1" x14ac:dyDescent="0.2">
      <c r="A43" s="192" t="s">
        <v>136</v>
      </c>
      <c r="B43" s="192"/>
      <c r="C43" s="192"/>
      <c r="D43" s="192"/>
      <c r="E43" s="192"/>
      <c r="F43" s="192"/>
      <c r="G43" s="14">
        <v>36</v>
      </c>
      <c r="H43" s="108">
        <v>0</v>
      </c>
      <c r="I43" s="108">
        <v>0</v>
      </c>
      <c r="J43" s="108">
        <v>0</v>
      </c>
      <c r="K43" s="108">
        <v>0</v>
      </c>
    </row>
    <row r="44" spans="1:13" ht="12.75" customHeight="1" x14ac:dyDescent="0.2">
      <c r="A44" s="192" t="s">
        <v>137</v>
      </c>
      <c r="B44" s="192"/>
      <c r="C44" s="192"/>
      <c r="D44" s="192"/>
      <c r="E44" s="192"/>
      <c r="F44" s="192"/>
      <c r="G44" s="14">
        <v>37</v>
      </c>
      <c r="H44" s="108">
        <v>64830</v>
      </c>
      <c r="I44" s="108">
        <f>2873+52954+1</f>
        <v>55828</v>
      </c>
      <c r="J44" s="108">
        <f>8550+80097+52833+1</f>
        <v>141481</v>
      </c>
      <c r="K44" s="108">
        <f>52407</f>
        <v>52407</v>
      </c>
    </row>
    <row r="45" spans="1:13" ht="12.75" customHeight="1" x14ac:dyDescent="0.2">
      <c r="A45" s="192" t="s">
        <v>138</v>
      </c>
      <c r="B45" s="192"/>
      <c r="C45" s="192"/>
      <c r="D45" s="192"/>
      <c r="E45" s="192"/>
      <c r="F45" s="192"/>
      <c r="G45" s="14">
        <v>38</v>
      </c>
      <c r="H45" s="108">
        <v>49</v>
      </c>
      <c r="I45" s="108">
        <v>49</v>
      </c>
      <c r="J45" s="108">
        <v>0</v>
      </c>
      <c r="K45" s="108">
        <v>0</v>
      </c>
    </row>
    <row r="46" spans="1:13" ht="12.75" customHeight="1" x14ac:dyDescent="0.2">
      <c r="A46" s="192" t="s">
        <v>139</v>
      </c>
      <c r="B46" s="192"/>
      <c r="C46" s="192"/>
      <c r="D46" s="192"/>
      <c r="E46" s="192"/>
      <c r="F46" s="192"/>
      <c r="G46" s="14">
        <v>39</v>
      </c>
      <c r="H46" s="108">
        <v>0</v>
      </c>
      <c r="I46" s="108">
        <v>0</v>
      </c>
      <c r="J46" s="108">
        <v>0</v>
      </c>
      <c r="K46" s="108">
        <v>0</v>
      </c>
    </row>
    <row r="47" spans="1:13" ht="12.75" customHeight="1" x14ac:dyDescent="0.2">
      <c r="A47" s="192" t="s">
        <v>140</v>
      </c>
      <c r="B47" s="192"/>
      <c r="C47" s="192"/>
      <c r="D47" s="192"/>
      <c r="E47" s="192"/>
      <c r="F47" s="192"/>
      <c r="G47" s="14">
        <v>40</v>
      </c>
      <c r="H47" s="108">
        <v>0</v>
      </c>
      <c r="I47" s="108">
        <v>0</v>
      </c>
      <c r="J47" s="108">
        <v>0</v>
      </c>
      <c r="K47" s="108">
        <v>0</v>
      </c>
    </row>
    <row r="48" spans="1:13" ht="12.75" customHeight="1" x14ac:dyDescent="0.2">
      <c r="A48" s="224" t="s">
        <v>362</v>
      </c>
      <c r="B48" s="224"/>
      <c r="C48" s="224"/>
      <c r="D48" s="224"/>
      <c r="E48" s="224"/>
      <c r="F48" s="224"/>
      <c r="G48" s="15">
        <v>41</v>
      </c>
      <c r="H48" s="107">
        <f>SUM(H49:H55)</f>
        <v>341131</v>
      </c>
      <c r="I48" s="107">
        <f>SUM(I49:I55)</f>
        <v>196171</v>
      </c>
      <c r="J48" s="107">
        <f>SUM(J49:J55)</f>
        <v>1579436</v>
      </c>
      <c r="K48" s="107">
        <f>SUM(K49:K55)</f>
        <v>1098472</v>
      </c>
      <c r="M48" s="131"/>
    </row>
    <row r="49" spans="1:11" ht="25.15" customHeight="1" x14ac:dyDescent="0.2">
      <c r="A49" s="192" t="s">
        <v>141</v>
      </c>
      <c r="B49" s="192"/>
      <c r="C49" s="192"/>
      <c r="D49" s="192"/>
      <c r="E49" s="192"/>
      <c r="F49" s="192"/>
      <c r="G49" s="14">
        <v>42</v>
      </c>
      <c r="H49" s="108">
        <v>142263</v>
      </c>
      <c r="I49" s="108">
        <f>23741</f>
        <v>23741</v>
      </c>
      <c r="J49" s="108">
        <f>87484</f>
        <v>87484</v>
      </c>
      <c r="K49" s="108">
        <f>30967</f>
        <v>30967</v>
      </c>
    </row>
    <row r="50" spans="1:11" ht="12.75" customHeight="1" x14ac:dyDescent="0.2">
      <c r="A50" s="217" t="s">
        <v>142</v>
      </c>
      <c r="B50" s="217"/>
      <c r="C50" s="217"/>
      <c r="D50" s="217"/>
      <c r="E50" s="217"/>
      <c r="F50" s="217"/>
      <c r="G50" s="14">
        <v>43</v>
      </c>
      <c r="H50" s="108">
        <v>11837</v>
      </c>
      <c r="I50" s="108">
        <f>11837</f>
        <v>11837</v>
      </c>
      <c r="J50" s="108">
        <f>28460</f>
        <v>28460</v>
      </c>
      <c r="K50" s="108">
        <v>0</v>
      </c>
    </row>
    <row r="51" spans="1:11" ht="12.75" customHeight="1" x14ac:dyDescent="0.2">
      <c r="A51" s="217" t="s">
        <v>143</v>
      </c>
      <c r="B51" s="217"/>
      <c r="C51" s="217"/>
      <c r="D51" s="217"/>
      <c r="E51" s="217"/>
      <c r="F51" s="217"/>
      <c r="G51" s="14">
        <v>44</v>
      </c>
      <c r="H51" s="108">
        <v>81184</v>
      </c>
      <c r="I51" s="108">
        <f>60897+13934</f>
        <v>74831</v>
      </c>
      <c r="J51" s="108">
        <f>358482</f>
        <v>358482</v>
      </c>
      <c r="K51" s="108">
        <f>409624+28460+21+114390</f>
        <v>552495</v>
      </c>
    </row>
    <row r="52" spans="1:11" ht="12.75" customHeight="1" x14ac:dyDescent="0.2">
      <c r="A52" s="217" t="s">
        <v>144</v>
      </c>
      <c r="B52" s="217"/>
      <c r="C52" s="217"/>
      <c r="D52" s="217"/>
      <c r="E52" s="217"/>
      <c r="F52" s="217"/>
      <c r="G52" s="14">
        <v>45</v>
      </c>
      <c r="H52" s="108">
        <v>85847</v>
      </c>
      <c r="I52" s="108">
        <f>85762</f>
        <v>85762</v>
      </c>
      <c r="J52" s="108">
        <v>0</v>
      </c>
      <c r="K52" s="108">
        <v>0</v>
      </c>
    </row>
    <row r="53" spans="1:11" ht="12.75" customHeight="1" x14ac:dyDescent="0.2">
      <c r="A53" s="217" t="s">
        <v>145</v>
      </c>
      <c r="B53" s="217"/>
      <c r="C53" s="217"/>
      <c r="D53" s="217"/>
      <c r="E53" s="217"/>
      <c r="F53" s="217"/>
      <c r="G53" s="14">
        <v>46</v>
      </c>
      <c r="H53" s="108">
        <v>0</v>
      </c>
      <c r="I53" s="108">
        <v>0</v>
      </c>
      <c r="J53" s="108">
        <v>0</v>
      </c>
      <c r="K53" s="108">
        <v>0</v>
      </c>
    </row>
    <row r="54" spans="1:11" ht="12.75" customHeight="1" x14ac:dyDescent="0.2">
      <c r="A54" s="217" t="s">
        <v>146</v>
      </c>
      <c r="B54" s="217"/>
      <c r="C54" s="217"/>
      <c r="D54" s="217"/>
      <c r="E54" s="217"/>
      <c r="F54" s="217"/>
      <c r="G54" s="14">
        <v>47</v>
      </c>
      <c r="H54" s="108">
        <v>0</v>
      </c>
      <c r="I54" s="108">
        <v>0</v>
      </c>
      <c r="J54" s="108">
        <v>1085000</v>
      </c>
      <c r="K54" s="108">
        <f>515000</f>
        <v>515000</v>
      </c>
    </row>
    <row r="55" spans="1:11" ht="12.75" customHeight="1" x14ac:dyDescent="0.2">
      <c r="A55" s="217" t="s">
        <v>147</v>
      </c>
      <c r="B55" s="217"/>
      <c r="C55" s="217"/>
      <c r="D55" s="217"/>
      <c r="E55" s="217"/>
      <c r="F55" s="217"/>
      <c r="G55" s="14">
        <v>48</v>
      </c>
      <c r="H55" s="108">
        <v>20000</v>
      </c>
      <c r="I55" s="108">
        <v>0</v>
      </c>
      <c r="J55" s="108">
        <v>20010</v>
      </c>
      <c r="K55" s="108">
        <f>10</f>
        <v>10</v>
      </c>
    </row>
    <row r="56" spans="1:11" ht="22.15" customHeight="1" x14ac:dyDescent="0.2">
      <c r="A56" s="226" t="s">
        <v>148</v>
      </c>
      <c r="B56" s="226"/>
      <c r="C56" s="226"/>
      <c r="D56" s="226"/>
      <c r="E56" s="226"/>
      <c r="F56" s="226"/>
      <c r="G56" s="14">
        <v>49</v>
      </c>
      <c r="H56" s="108">
        <v>0</v>
      </c>
      <c r="I56" s="108">
        <v>0</v>
      </c>
      <c r="J56" s="108">
        <v>0</v>
      </c>
      <c r="K56" s="108">
        <v>0</v>
      </c>
    </row>
    <row r="57" spans="1:11" ht="12.75" customHeight="1" x14ac:dyDescent="0.2">
      <c r="A57" s="226" t="s">
        <v>149</v>
      </c>
      <c r="B57" s="226"/>
      <c r="C57" s="226"/>
      <c r="D57" s="226"/>
      <c r="E57" s="226"/>
      <c r="F57" s="226"/>
      <c r="G57" s="14">
        <v>50</v>
      </c>
      <c r="H57" s="108">
        <v>0</v>
      </c>
      <c r="I57" s="108">
        <v>0</v>
      </c>
      <c r="J57" s="108">
        <v>0</v>
      </c>
      <c r="K57" s="108">
        <v>0</v>
      </c>
    </row>
    <row r="58" spans="1:11" ht="24.6" customHeight="1" x14ac:dyDescent="0.2">
      <c r="A58" s="226" t="s">
        <v>150</v>
      </c>
      <c r="B58" s="226"/>
      <c r="C58" s="226"/>
      <c r="D58" s="226"/>
      <c r="E58" s="226"/>
      <c r="F58" s="226"/>
      <c r="G58" s="14">
        <v>51</v>
      </c>
      <c r="H58" s="108">
        <v>0</v>
      </c>
      <c r="I58" s="108">
        <v>0</v>
      </c>
      <c r="J58" s="108">
        <v>0</v>
      </c>
      <c r="K58" s="108">
        <v>0</v>
      </c>
    </row>
    <row r="59" spans="1:11" ht="12.75" customHeight="1" x14ac:dyDescent="0.2">
      <c r="A59" s="226" t="s">
        <v>151</v>
      </c>
      <c r="B59" s="226"/>
      <c r="C59" s="226"/>
      <c r="D59" s="226"/>
      <c r="E59" s="226"/>
      <c r="F59" s="226"/>
      <c r="G59" s="14">
        <v>52</v>
      </c>
      <c r="H59" s="108">
        <v>0</v>
      </c>
      <c r="I59" s="108">
        <v>0</v>
      </c>
      <c r="J59" s="108">
        <v>0</v>
      </c>
      <c r="K59" s="108">
        <v>0</v>
      </c>
    </row>
    <row r="60" spans="1:11" ht="12.75" customHeight="1" x14ac:dyDescent="0.2">
      <c r="A60" s="224" t="s">
        <v>363</v>
      </c>
      <c r="B60" s="224"/>
      <c r="C60" s="224"/>
      <c r="D60" s="224"/>
      <c r="E60" s="224"/>
      <c r="F60" s="224"/>
      <c r="G60" s="15">
        <v>53</v>
      </c>
      <c r="H60" s="107">
        <f>H8+H37+H56+H57</f>
        <v>2805031</v>
      </c>
      <c r="I60" s="107">
        <f t="shared" ref="I60:K60" si="0">I8+I37+I56+I57</f>
        <v>1151304</v>
      </c>
      <c r="J60" s="107">
        <f t="shared" si="0"/>
        <v>6385613</v>
      </c>
      <c r="K60" s="107">
        <f t="shared" si="0"/>
        <v>2087015</v>
      </c>
    </row>
    <row r="61" spans="1:11" ht="12.75" customHeight="1" x14ac:dyDescent="0.2">
      <c r="A61" s="224" t="s">
        <v>364</v>
      </c>
      <c r="B61" s="224"/>
      <c r="C61" s="224"/>
      <c r="D61" s="224"/>
      <c r="E61" s="224"/>
      <c r="F61" s="224"/>
      <c r="G61" s="15">
        <v>54</v>
      </c>
      <c r="H61" s="107">
        <f>H14+H48+H58+H59</f>
        <v>5908930</v>
      </c>
      <c r="I61" s="107">
        <f t="shared" ref="I61:K61" si="1">I14+I48+I58+I59</f>
        <v>1352053</v>
      </c>
      <c r="J61" s="107">
        <f t="shared" si="1"/>
        <v>7899547</v>
      </c>
      <c r="K61" s="107">
        <f t="shared" si="1"/>
        <v>2865332</v>
      </c>
    </row>
    <row r="62" spans="1:11" ht="12.75" customHeight="1" x14ac:dyDescent="0.2">
      <c r="A62" s="224" t="s">
        <v>365</v>
      </c>
      <c r="B62" s="224"/>
      <c r="C62" s="224"/>
      <c r="D62" s="224"/>
      <c r="E62" s="224"/>
      <c r="F62" s="224"/>
      <c r="G62" s="15">
        <v>55</v>
      </c>
      <c r="H62" s="107">
        <f>H60-H61</f>
        <v>-3103899</v>
      </c>
      <c r="I62" s="107">
        <f t="shared" ref="I62:K62" si="2">I60-I61</f>
        <v>-200749</v>
      </c>
      <c r="J62" s="107">
        <f t="shared" si="2"/>
        <v>-1513934</v>
      </c>
      <c r="K62" s="107">
        <f t="shared" si="2"/>
        <v>-778317</v>
      </c>
    </row>
    <row r="63" spans="1:11" ht="12.75" customHeight="1" x14ac:dyDescent="0.2">
      <c r="A63" s="225" t="s">
        <v>366</v>
      </c>
      <c r="B63" s="225"/>
      <c r="C63" s="225"/>
      <c r="D63" s="225"/>
      <c r="E63" s="225"/>
      <c r="F63" s="225"/>
      <c r="G63" s="15">
        <v>56</v>
      </c>
      <c r="H63" s="107">
        <f>+IF((H60-H61)&gt;0,(H60-H61),0)</f>
        <v>0</v>
      </c>
      <c r="I63" s="107">
        <f t="shared" ref="I63:K63" si="3">+IF((I60-I61)&gt;0,(I60-I61),0)</f>
        <v>0</v>
      </c>
      <c r="J63" s="107">
        <f t="shared" si="3"/>
        <v>0</v>
      </c>
      <c r="K63" s="107">
        <f t="shared" si="3"/>
        <v>0</v>
      </c>
    </row>
    <row r="64" spans="1:11" ht="12.75" customHeight="1" x14ac:dyDescent="0.2">
      <c r="A64" s="225" t="s">
        <v>367</v>
      </c>
      <c r="B64" s="225"/>
      <c r="C64" s="225"/>
      <c r="D64" s="225"/>
      <c r="E64" s="225"/>
      <c r="F64" s="225"/>
      <c r="G64" s="15">
        <v>57</v>
      </c>
      <c r="H64" s="107">
        <f>+IF((H60-H61)&lt;0,(H60-H61),0)</f>
        <v>-3103899</v>
      </c>
      <c r="I64" s="107">
        <f t="shared" ref="I64:K64" si="4">+IF((I60-I61)&lt;0,(I60-I61),0)</f>
        <v>-200749</v>
      </c>
      <c r="J64" s="107">
        <f t="shared" si="4"/>
        <v>-1513934</v>
      </c>
      <c r="K64" s="107">
        <f t="shared" si="4"/>
        <v>-778317</v>
      </c>
    </row>
    <row r="65" spans="1:14" ht="12.75" customHeight="1" x14ac:dyDescent="0.2">
      <c r="A65" s="226" t="s">
        <v>111</v>
      </c>
      <c r="B65" s="226"/>
      <c r="C65" s="226"/>
      <c r="D65" s="226"/>
      <c r="E65" s="226"/>
      <c r="F65" s="226"/>
      <c r="G65" s="14">
        <v>58</v>
      </c>
      <c r="H65" s="108">
        <v>0</v>
      </c>
      <c r="I65" s="108">
        <v>0</v>
      </c>
      <c r="J65" s="108">
        <v>0</v>
      </c>
      <c r="K65" s="108">
        <v>0</v>
      </c>
    </row>
    <row r="66" spans="1:14" ht="12.75" customHeight="1" x14ac:dyDescent="0.2">
      <c r="A66" s="224" t="s">
        <v>368</v>
      </c>
      <c r="B66" s="224"/>
      <c r="C66" s="224"/>
      <c r="D66" s="224"/>
      <c r="E66" s="224"/>
      <c r="F66" s="224"/>
      <c r="G66" s="15">
        <v>59</v>
      </c>
      <c r="H66" s="107">
        <f>H62-H65</f>
        <v>-3103899</v>
      </c>
      <c r="I66" s="107">
        <f t="shared" ref="I66:K66" si="5">I62-I65</f>
        <v>-200749</v>
      </c>
      <c r="J66" s="107">
        <f t="shared" si="5"/>
        <v>-1513934</v>
      </c>
      <c r="K66" s="107">
        <f t="shared" si="5"/>
        <v>-778317</v>
      </c>
    </row>
    <row r="67" spans="1:14" ht="12.75" customHeight="1" x14ac:dyDescent="0.2">
      <c r="A67" s="225" t="s">
        <v>369</v>
      </c>
      <c r="B67" s="225"/>
      <c r="C67" s="225"/>
      <c r="D67" s="225"/>
      <c r="E67" s="225"/>
      <c r="F67" s="225"/>
      <c r="G67" s="15">
        <v>60</v>
      </c>
      <c r="H67" s="107">
        <f>+IF((H62-H65)&gt;0,(H62-H65),0)</f>
        <v>0</v>
      </c>
      <c r="I67" s="107">
        <f t="shared" ref="I67:K67" si="6">+IF((I62-I65)&gt;0,(I62-I65),0)</f>
        <v>0</v>
      </c>
      <c r="J67" s="107">
        <f t="shared" si="6"/>
        <v>0</v>
      </c>
      <c r="K67" s="107">
        <f t="shared" si="6"/>
        <v>0</v>
      </c>
      <c r="N67" s="103"/>
    </row>
    <row r="68" spans="1:14" ht="12.75" customHeight="1" x14ac:dyDescent="0.2">
      <c r="A68" s="225" t="s">
        <v>370</v>
      </c>
      <c r="B68" s="225"/>
      <c r="C68" s="225"/>
      <c r="D68" s="225"/>
      <c r="E68" s="225"/>
      <c r="F68" s="225"/>
      <c r="G68" s="15">
        <v>61</v>
      </c>
      <c r="H68" s="107">
        <f>+IF((H62-H65)&lt;0,(H62-H65),0)</f>
        <v>-3103899</v>
      </c>
      <c r="I68" s="107">
        <f t="shared" ref="I68:K68" si="7">+IF((I62-I65)&lt;0,(I62-I65),0)</f>
        <v>-200749</v>
      </c>
      <c r="J68" s="107">
        <f t="shared" si="7"/>
        <v>-1513934</v>
      </c>
      <c r="K68" s="107">
        <f t="shared" si="7"/>
        <v>-778317</v>
      </c>
    </row>
    <row r="69" spans="1:14" x14ac:dyDescent="0.2">
      <c r="A69" s="218" t="s">
        <v>152</v>
      </c>
      <c r="B69" s="218"/>
      <c r="C69" s="218"/>
      <c r="D69" s="218"/>
      <c r="E69" s="218"/>
      <c r="F69" s="218"/>
      <c r="G69" s="219"/>
      <c r="H69" s="219"/>
      <c r="I69" s="219"/>
      <c r="J69" s="220"/>
      <c r="K69" s="220"/>
    </row>
    <row r="70" spans="1:14" ht="22.15" customHeight="1" x14ac:dyDescent="0.2">
      <c r="A70" s="224" t="s">
        <v>371</v>
      </c>
      <c r="B70" s="224"/>
      <c r="C70" s="224"/>
      <c r="D70" s="224"/>
      <c r="E70" s="224"/>
      <c r="F70" s="224"/>
      <c r="G70" s="15">
        <v>62</v>
      </c>
      <c r="H70" s="107">
        <f>H71-H72</f>
        <v>0</v>
      </c>
      <c r="I70" s="107">
        <f>I71-I72</f>
        <v>0</v>
      </c>
      <c r="J70" s="107">
        <f>J71-J72</f>
        <v>0</v>
      </c>
      <c r="K70" s="107">
        <f>K71-K72</f>
        <v>0</v>
      </c>
    </row>
    <row r="71" spans="1:14" ht="12.75" customHeight="1" x14ac:dyDescent="0.2">
      <c r="A71" s="217" t="s">
        <v>153</v>
      </c>
      <c r="B71" s="217"/>
      <c r="C71" s="217"/>
      <c r="D71" s="217"/>
      <c r="E71" s="217"/>
      <c r="F71" s="217"/>
      <c r="G71" s="14">
        <v>63</v>
      </c>
      <c r="H71" s="108">
        <v>0</v>
      </c>
      <c r="I71" s="108">
        <v>0</v>
      </c>
      <c r="J71" s="108">
        <v>0</v>
      </c>
      <c r="K71" s="108">
        <v>0</v>
      </c>
    </row>
    <row r="72" spans="1:14" ht="12.75" customHeight="1" x14ac:dyDescent="0.2">
      <c r="A72" s="217" t="s">
        <v>154</v>
      </c>
      <c r="B72" s="217"/>
      <c r="C72" s="217"/>
      <c r="D72" s="217"/>
      <c r="E72" s="217"/>
      <c r="F72" s="217"/>
      <c r="G72" s="14">
        <v>64</v>
      </c>
      <c r="H72" s="108">
        <v>0</v>
      </c>
      <c r="I72" s="108">
        <v>0</v>
      </c>
      <c r="J72" s="108">
        <v>0</v>
      </c>
      <c r="K72" s="108">
        <v>0</v>
      </c>
    </row>
    <row r="73" spans="1:14" ht="12.75" customHeight="1" x14ac:dyDescent="0.2">
      <c r="A73" s="226" t="s">
        <v>155</v>
      </c>
      <c r="B73" s="226"/>
      <c r="C73" s="226"/>
      <c r="D73" s="226"/>
      <c r="E73" s="226"/>
      <c r="F73" s="226"/>
      <c r="G73" s="14">
        <v>65</v>
      </c>
      <c r="H73" s="108">
        <v>0</v>
      </c>
      <c r="I73" s="108">
        <v>0</v>
      </c>
      <c r="J73" s="108">
        <v>0</v>
      </c>
      <c r="K73" s="108">
        <v>0</v>
      </c>
    </row>
    <row r="74" spans="1:14" ht="12.75" customHeight="1" x14ac:dyDescent="0.2">
      <c r="A74" s="225" t="s">
        <v>372</v>
      </c>
      <c r="B74" s="225"/>
      <c r="C74" s="225"/>
      <c r="D74" s="225"/>
      <c r="E74" s="225"/>
      <c r="F74" s="225"/>
      <c r="G74" s="15">
        <v>66</v>
      </c>
      <c r="H74" s="130">
        <v>0</v>
      </c>
      <c r="I74" s="130">
        <v>0</v>
      </c>
      <c r="J74" s="130">
        <v>0</v>
      </c>
      <c r="K74" s="130">
        <v>0</v>
      </c>
    </row>
    <row r="75" spans="1:14" ht="12.75" customHeight="1" x14ac:dyDescent="0.2">
      <c r="A75" s="225" t="s">
        <v>373</v>
      </c>
      <c r="B75" s="225"/>
      <c r="C75" s="225"/>
      <c r="D75" s="225"/>
      <c r="E75" s="225"/>
      <c r="F75" s="225"/>
      <c r="G75" s="15">
        <v>67</v>
      </c>
      <c r="H75" s="130">
        <v>0</v>
      </c>
      <c r="I75" s="130">
        <v>0</v>
      </c>
      <c r="J75" s="130">
        <v>0</v>
      </c>
      <c r="K75" s="130">
        <v>0</v>
      </c>
    </row>
    <row r="76" spans="1:14" x14ac:dyDescent="0.2">
      <c r="A76" s="218" t="s">
        <v>156</v>
      </c>
      <c r="B76" s="218"/>
      <c r="C76" s="218"/>
      <c r="D76" s="218"/>
      <c r="E76" s="218"/>
      <c r="F76" s="218"/>
      <c r="G76" s="219"/>
      <c r="H76" s="219"/>
      <c r="I76" s="219"/>
      <c r="J76" s="220"/>
      <c r="K76" s="220"/>
    </row>
    <row r="77" spans="1:14" ht="12.75" customHeight="1" x14ac:dyDescent="0.2">
      <c r="A77" s="224" t="s">
        <v>374</v>
      </c>
      <c r="B77" s="224"/>
      <c r="C77" s="224"/>
      <c r="D77" s="224"/>
      <c r="E77" s="224"/>
      <c r="F77" s="224"/>
      <c r="G77" s="15">
        <v>68</v>
      </c>
      <c r="H77" s="130">
        <v>0</v>
      </c>
      <c r="I77" s="130">
        <v>0</v>
      </c>
      <c r="J77" s="130">
        <v>0</v>
      </c>
      <c r="K77" s="130">
        <v>0</v>
      </c>
    </row>
    <row r="78" spans="1:14" ht="12.75" customHeight="1" x14ac:dyDescent="0.2">
      <c r="A78" s="223" t="s">
        <v>375</v>
      </c>
      <c r="B78" s="223"/>
      <c r="C78" s="223"/>
      <c r="D78" s="223"/>
      <c r="E78" s="223"/>
      <c r="F78" s="223"/>
      <c r="G78" s="95">
        <v>69</v>
      </c>
      <c r="H78" s="109">
        <v>0</v>
      </c>
      <c r="I78" s="109">
        <v>0</v>
      </c>
      <c r="J78" s="109">
        <v>0</v>
      </c>
      <c r="K78" s="109">
        <v>0</v>
      </c>
    </row>
    <row r="79" spans="1:14" ht="12.75" customHeight="1" x14ac:dyDescent="0.2">
      <c r="A79" s="223" t="s">
        <v>376</v>
      </c>
      <c r="B79" s="223"/>
      <c r="C79" s="223"/>
      <c r="D79" s="223"/>
      <c r="E79" s="223"/>
      <c r="F79" s="223"/>
      <c r="G79" s="95">
        <v>70</v>
      </c>
      <c r="H79" s="109">
        <v>0</v>
      </c>
      <c r="I79" s="109">
        <v>0</v>
      </c>
      <c r="J79" s="109">
        <v>0</v>
      </c>
      <c r="K79" s="109">
        <v>0</v>
      </c>
    </row>
    <row r="80" spans="1:14" ht="12.75" customHeight="1" x14ac:dyDescent="0.2">
      <c r="A80" s="224" t="s">
        <v>377</v>
      </c>
      <c r="B80" s="224"/>
      <c r="C80" s="224"/>
      <c r="D80" s="224"/>
      <c r="E80" s="224"/>
      <c r="F80" s="224"/>
      <c r="G80" s="15">
        <v>71</v>
      </c>
      <c r="H80" s="130">
        <v>0</v>
      </c>
      <c r="I80" s="130">
        <v>0</v>
      </c>
      <c r="J80" s="130">
        <v>0</v>
      </c>
      <c r="K80" s="130">
        <v>0</v>
      </c>
    </row>
    <row r="81" spans="1:11" ht="12.75" customHeight="1" x14ac:dyDescent="0.2">
      <c r="A81" s="224" t="s">
        <v>378</v>
      </c>
      <c r="B81" s="224"/>
      <c r="C81" s="224"/>
      <c r="D81" s="224"/>
      <c r="E81" s="224"/>
      <c r="F81" s="224"/>
      <c r="G81" s="15">
        <v>72</v>
      </c>
      <c r="H81" s="130">
        <v>0</v>
      </c>
      <c r="I81" s="130">
        <v>0</v>
      </c>
      <c r="J81" s="130">
        <v>0</v>
      </c>
      <c r="K81" s="130">
        <v>0</v>
      </c>
    </row>
    <row r="82" spans="1:11" ht="12.75" customHeight="1" x14ac:dyDescent="0.2">
      <c r="A82" s="225" t="s">
        <v>379</v>
      </c>
      <c r="B82" s="225"/>
      <c r="C82" s="225"/>
      <c r="D82" s="225"/>
      <c r="E82" s="225"/>
      <c r="F82" s="225"/>
      <c r="G82" s="15">
        <v>73</v>
      </c>
      <c r="H82" s="130">
        <v>0</v>
      </c>
      <c r="I82" s="130">
        <v>0</v>
      </c>
      <c r="J82" s="130">
        <v>0</v>
      </c>
      <c r="K82" s="130">
        <v>0</v>
      </c>
    </row>
    <row r="83" spans="1:11" ht="12.75" customHeight="1" x14ac:dyDescent="0.2">
      <c r="A83" s="225" t="s">
        <v>380</v>
      </c>
      <c r="B83" s="225"/>
      <c r="C83" s="225"/>
      <c r="D83" s="225"/>
      <c r="E83" s="225"/>
      <c r="F83" s="225"/>
      <c r="G83" s="15">
        <v>74</v>
      </c>
      <c r="H83" s="130">
        <v>0</v>
      </c>
      <c r="I83" s="130">
        <v>0</v>
      </c>
      <c r="J83" s="130">
        <v>0</v>
      </c>
      <c r="K83" s="130">
        <v>0</v>
      </c>
    </row>
    <row r="84" spans="1:11" x14ac:dyDescent="0.2">
      <c r="A84" s="218" t="s">
        <v>112</v>
      </c>
      <c r="B84" s="218"/>
      <c r="C84" s="218"/>
      <c r="D84" s="218"/>
      <c r="E84" s="218"/>
      <c r="F84" s="218"/>
      <c r="G84" s="219"/>
      <c r="H84" s="219"/>
      <c r="I84" s="219"/>
      <c r="J84" s="220"/>
      <c r="K84" s="220"/>
    </row>
    <row r="85" spans="1:11" ht="12.75" customHeight="1" x14ac:dyDescent="0.2">
      <c r="A85" s="213" t="s">
        <v>381</v>
      </c>
      <c r="B85" s="213"/>
      <c r="C85" s="213"/>
      <c r="D85" s="213"/>
      <c r="E85" s="213"/>
      <c r="F85" s="213"/>
      <c r="G85" s="15">
        <v>75</v>
      </c>
      <c r="H85" s="110">
        <f>H86+H87</f>
        <v>0</v>
      </c>
      <c r="I85" s="110">
        <f>I86+I87</f>
        <v>0</v>
      </c>
      <c r="J85" s="110">
        <f>J86+J87</f>
        <v>0</v>
      </c>
      <c r="K85" s="110">
        <f>K86+K87</f>
        <v>0</v>
      </c>
    </row>
    <row r="86" spans="1:11" ht="12.75" customHeight="1" x14ac:dyDescent="0.2">
      <c r="A86" s="214" t="s">
        <v>157</v>
      </c>
      <c r="B86" s="214"/>
      <c r="C86" s="214"/>
      <c r="D86" s="214"/>
      <c r="E86" s="214"/>
      <c r="F86" s="214"/>
      <c r="G86" s="14">
        <v>76</v>
      </c>
      <c r="H86" s="111">
        <v>0</v>
      </c>
      <c r="I86" s="111">
        <v>0</v>
      </c>
      <c r="J86" s="111">
        <v>0</v>
      </c>
      <c r="K86" s="111">
        <v>0</v>
      </c>
    </row>
    <row r="87" spans="1:11" ht="12.75" customHeight="1" x14ac:dyDescent="0.2">
      <c r="A87" s="214" t="s">
        <v>158</v>
      </c>
      <c r="B87" s="214"/>
      <c r="C87" s="214"/>
      <c r="D87" s="214"/>
      <c r="E87" s="214"/>
      <c r="F87" s="214"/>
      <c r="G87" s="14">
        <v>77</v>
      </c>
      <c r="H87" s="111">
        <v>0</v>
      </c>
      <c r="I87" s="111">
        <v>0</v>
      </c>
      <c r="J87" s="111">
        <v>0</v>
      </c>
      <c r="K87" s="111">
        <v>0</v>
      </c>
    </row>
    <row r="88" spans="1:11" x14ac:dyDescent="0.2">
      <c r="A88" s="221" t="s">
        <v>114</v>
      </c>
      <c r="B88" s="221"/>
      <c r="C88" s="221"/>
      <c r="D88" s="221"/>
      <c r="E88" s="221"/>
      <c r="F88" s="221"/>
      <c r="G88" s="222"/>
      <c r="H88" s="222"/>
      <c r="I88" s="222"/>
      <c r="J88" s="220"/>
      <c r="K88" s="220"/>
    </row>
    <row r="89" spans="1:11" ht="12.75" customHeight="1" x14ac:dyDescent="0.2">
      <c r="A89" s="193" t="s">
        <v>159</v>
      </c>
      <c r="B89" s="193"/>
      <c r="C89" s="193"/>
      <c r="D89" s="193"/>
      <c r="E89" s="193"/>
      <c r="F89" s="193"/>
      <c r="G89" s="14">
        <v>78</v>
      </c>
      <c r="H89" s="111">
        <v>0</v>
      </c>
      <c r="I89" s="111">
        <v>0</v>
      </c>
      <c r="J89" s="111">
        <v>0</v>
      </c>
      <c r="K89" s="111">
        <v>0</v>
      </c>
    </row>
    <row r="90" spans="1:11" ht="24" customHeight="1" x14ac:dyDescent="0.2">
      <c r="A90" s="194" t="s">
        <v>437</v>
      </c>
      <c r="B90" s="194"/>
      <c r="C90" s="194"/>
      <c r="D90" s="194"/>
      <c r="E90" s="194"/>
      <c r="F90" s="194"/>
      <c r="G90" s="15">
        <v>79</v>
      </c>
      <c r="H90" s="128">
        <f>H91+H98</f>
        <v>0</v>
      </c>
      <c r="I90" s="128">
        <f>I91+I98</f>
        <v>0</v>
      </c>
      <c r="J90" s="128">
        <f t="shared" ref="J90:K90" si="8">J91+J98</f>
        <v>0</v>
      </c>
      <c r="K90" s="128">
        <f t="shared" si="8"/>
        <v>0</v>
      </c>
    </row>
    <row r="91" spans="1:11" ht="24" customHeight="1" x14ac:dyDescent="0.2">
      <c r="A91" s="215" t="s">
        <v>444</v>
      </c>
      <c r="B91" s="215"/>
      <c r="C91" s="215"/>
      <c r="D91" s="215"/>
      <c r="E91" s="215"/>
      <c r="F91" s="215"/>
      <c r="G91" s="15">
        <v>80</v>
      </c>
      <c r="H91" s="128">
        <f>SUM(H92:H96)</f>
        <v>0</v>
      </c>
      <c r="I91" s="128">
        <f>SUM(I92:I96)</f>
        <v>0</v>
      </c>
      <c r="J91" s="128">
        <f t="shared" ref="J91:K91" si="9">SUM(J92:J96)</f>
        <v>0</v>
      </c>
      <c r="K91" s="128">
        <f t="shared" si="9"/>
        <v>0</v>
      </c>
    </row>
    <row r="92" spans="1:11" ht="25.5" customHeight="1" x14ac:dyDescent="0.2">
      <c r="A92" s="217" t="s">
        <v>382</v>
      </c>
      <c r="B92" s="217"/>
      <c r="C92" s="217"/>
      <c r="D92" s="217"/>
      <c r="E92" s="217"/>
      <c r="F92" s="217"/>
      <c r="G92" s="15">
        <v>81</v>
      </c>
      <c r="H92" s="111">
        <v>0</v>
      </c>
      <c r="I92" s="111">
        <v>0</v>
      </c>
      <c r="J92" s="111">
        <v>0</v>
      </c>
      <c r="K92" s="111">
        <v>0</v>
      </c>
    </row>
    <row r="93" spans="1:11" ht="38.25" customHeight="1" x14ac:dyDescent="0.2">
      <c r="A93" s="217" t="s">
        <v>383</v>
      </c>
      <c r="B93" s="217"/>
      <c r="C93" s="217"/>
      <c r="D93" s="217"/>
      <c r="E93" s="217"/>
      <c r="F93" s="217"/>
      <c r="G93" s="15">
        <v>82</v>
      </c>
      <c r="H93" s="111">
        <v>0</v>
      </c>
      <c r="I93" s="111">
        <v>0</v>
      </c>
      <c r="J93" s="111">
        <v>0</v>
      </c>
      <c r="K93" s="111">
        <v>0</v>
      </c>
    </row>
    <row r="94" spans="1:11" ht="38.25" customHeight="1" x14ac:dyDescent="0.2">
      <c r="A94" s="217" t="s">
        <v>384</v>
      </c>
      <c r="B94" s="217"/>
      <c r="C94" s="217"/>
      <c r="D94" s="217"/>
      <c r="E94" s="217"/>
      <c r="F94" s="217"/>
      <c r="G94" s="15">
        <v>83</v>
      </c>
      <c r="H94" s="111">
        <v>0</v>
      </c>
      <c r="I94" s="111">
        <v>0</v>
      </c>
      <c r="J94" s="111">
        <v>0</v>
      </c>
      <c r="K94" s="111">
        <v>0</v>
      </c>
    </row>
    <row r="95" spans="1:11" x14ac:dyDescent="0.2">
      <c r="A95" s="217" t="s">
        <v>385</v>
      </c>
      <c r="B95" s="217"/>
      <c r="C95" s="217"/>
      <c r="D95" s="217"/>
      <c r="E95" s="217"/>
      <c r="F95" s="217"/>
      <c r="G95" s="15">
        <v>84</v>
      </c>
      <c r="H95" s="111">
        <v>0</v>
      </c>
      <c r="I95" s="111">
        <v>0</v>
      </c>
      <c r="J95" s="111">
        <v>0</v>
      </c>
      <c r="K95" s="111">
        <v>0</v>
      </c>
    </row>
    <row r="96" spans="1:11" x14ac:dyDescent="0.2">
      <c r="A96" s="217" t="s">
        <v>386</v>
      </c>
      <c r="B96" s="217"/>
      <c r="C96" s="217"/>
      <c r="D96" s="217"/>
      <c r="E96" s="217"/>
      <c r="F96" s="217"/>
      <c r="G96" s="15">
        <v>85</v>
      </c>
      <c r="H96" s="111">
        <v>0</v>
      </c>
      <c r="I96" s="111">
        <v>0</v>
      </c>
      <c r="J96" s="111">
        <v>0</v>
      </c>
      <c r="K96" s="111">
        <v>0</v>
      </c>
    </row>
    <row r="97" spans="1:11" ht="26.25" customHeight="1" x14ac:dyDescent="0.2">
      <c r="A97" s="217" t="s">
        <v>387</v>
      </c>
      <c r="B97" s="217"/>
      <c r="C97" s="217"/>
      <c r="D97" s="217"/>
      <c r="E97" s="217"/>
      <c r="F97" s="217"/>
      <c r="G97" s="15">
        <v>86</v>
      </c>
      <c r="H97" s="111">
        <v>0</v>
      </c>
      <c r="I97" s="111">
        <v>0</v>
      </c>
      <c r="J97" s="111">
        <v>0</v>
      </c>
      <c r="K97" s="111">
        <v>0</v>
      </c>
    </row>
    <row r="98" spans="1:11" ht="25.5" customHeight="1" x14ac:dyDescent="0.2">
      <c r="A98" s="215" t="s">
        <v>438</v>
      </c>
      <c r="B98" s="215"/>
      <c r="C98" s="215"/>
      <c r="D98" s="215"/>
      <c r="E98" s="215"/>
      <c r="F98" s="215"/>
      <c r="G98" s="15">
        <v>87</v>
      </c>
      <c r="H98" s="128">
        <f>SUM(H99:H106)</f>
        <v>0</v>
      </c>
      <c r="I98" s="128">
        <f>SUM(I99:I106)</f>
        <v>0</v>
      </c>
      <c r="J98" s="128">
        <f t="shared" ref="J98:K98" si="10">SUM(J99:J106)</f>
        <v>0</v>
      </c>
      <c r="K98" s="128">
        <f t="shared" si="10"/>
        <v>0</v>
      </c>
    </row>
    <row r="99" spans="1:11" x14ac:dyDescent="0.2">
      <c r="A99" s="216" t="s">
        <v>160</v>
      </c>
      <c r="B99" s="216"/>
      <c r="C99" s="216"/>
      <c r="D99" s="216"/>
      <c r="E99" s="216"/>
      <c r="F99" s="216"/>
      <c r="G99" s="14">
        <v>88</v>
      </c>
      <c r="H99" s="111">
        <v>0</v>
      </c>
      <c r="I99" s="111">
        <v>0</v>
      </c>
      <c r="J99" s="111">
        <v>0</v>
      </c>
      <c r="K99" s="111">
        <v>0</v>
      </c>
    </row>
    <row r="100" spans="1:11" ht="36" customHeight="1" x14ac:dyDescent="0.2">
      <c r="A100" s="217" t="s">
        <v>388</v>
      </c>
      <c r="B100" s="217"/>
      <c r="C100" s="217"/>
      <c r="D100" s="217"/>
      <c r="E100" s="217"/>
      <c r="F100" s="217"/>
      <c r="G100" s="14">
        <v>89</v>
      </c>
      <c r="H100" s="111">
        <v>0</v>
      </c>
      <c r="I100" s="111">
        <v>0</v>
      </c>
      <c r="J100" s="111">
        <v>0</v>
      </c>
      <c r="K100" s="111">
        <v>0</v>
      </c>
    </row>
    <row r="101" spans="1:11" ht="22.15" customHeight="1" x14ac:dyDescent="0.2">
      <c r="A101" s="216" t="s">
        <v>161</v>
      </c>
      <c r="B101" s="216"/>
      <c r="C101" s="216"/>
      <c r="D101" s="216"/>
      <c r="E101" s="216"/>
      <c r="F101" s="216"/>
      <c r="G101" s="14">
        <v>90</v>
      </c>
      <c r="H101" s="111">
        <v>0</v>
      </c>
      <c r="I101" s="111">
        <v>0</v>
      </c>
      <c r="J101" s="111">
        <v>0</v>
      </c>
      <c r="K101" s="111">
        <v>0</v>
      </c>
    </row>
    <row r="102" spans="1:11" ht="22.15" customHeight="1" x14ac:dyDescent="0.2">
      <c r="A102" s="216" t="s">
        <v>162</v>
      </c>
      <c r="B102" s="216"/>
      <c r="C102" s="216"/>
      <c r="D102" s="216"/>
      <c r="E102" s="216"/>
      <c r="F102" s="216"/>
      <c r="G102" s="14">
        <v>91</v>
      </c>
      <c r="H102" s="111">
        <v>0</v>
      </c>
      <c r="I102" s="111">
        <v>0</v>
      </c>
      <c r="J102" s="111">
        <v>0</v>
      </c>
      <c r="K102" s="111">
        <v>0</v>
      </c>
    </row>
    <row r="103" spans="1:11" ht="22.15" customHeight="1" x14ac:dyDescent="0.2">
      <c r="A103" s="216" t="s">
        <v>163</v>
      </c>
      <c r="B103" s="216"/>
      <c r="C103" s="216"/>
      <c r="D103" s="216"/>
      <c r="E103" s="216"/>
      <c r="F103" s="216"/>
      <c r="G103" s="14">
        <v>92</v>
      </c>
      <c r="H103" s="111">
        <v>0</v>
      </c>
      <c r="I103" s="111">
        <v>0</v>
      </c>
      <c r="J103" s="111">
        <v>0</v>
      </c>
      <c r="K103" s="111">
        <v>0</v>
      </c>
    </row>
    <row r="104" spans="1:11" ht="12.75" customHeight="1" x14ac:dyDescent="0.2">
      <c r="A104" s="217" t="s">
        <v>389</v>
      </c>
      <c r="B104" s="217"/>
      <c r="C104" s="217"/>
      <c r="D104" s="217"/>
      <c r="E104" s="217"/>
      <c r="F104" s="217"/>
      <c r="G104" s="14">
        <v>93</v>
      </c>
      <c r="H104" s="111">
        <v>0</v>
      </c>
      <c r="I104" s="111">
        <v>0</v>
      </c>
      <c r="J104" s="111">
        <v>0</v>
      </c>
      <c r="K104" s="111">
        <v>0</v>
      </c>
    </row>
    <row r="105" spans="1:11" ht="26.25" customHeight="1" x14ac:dyDescent="0.2">
      <c r="A105" s="217" t="s">
        <v>390</v>
      </c>
      <c r="B105" s="217"/>
      <c r="C105" s="217"/>
      <c r="D105" s="217"/>
      <c r="E105" s="217"/>
      <c r="F105" s="217"/>
      <c r="G105" s="14">
        <v>94</v>
      </c>
      <c r="H105" s="111">
        <v>0</v>
      </c>
      <c r="I105" s="111">
        <v>0</v>
      </c>
      <c r="J105" s="111">
        <v>0</v>
      </c>
      <c r="K105" s="111">
        <v>0</v>
      </c>
    </row>
    <row r="106" spans="1:11" x14ac:dyDescent="0.2">
      <c r="A106" s="217" t="s">
        <v>391</v>
      </c>
      <c r="B106" s="217"/>
      <c r="C106" s="217"/>
      <c r="D106" s="217"/>
      <c r="E106" s="217"/>
      <c r="F106" s="217"/>
      <c r="G106" s="14">
        <v>95</v>
      </c>
      <c r="H106" s="111">
        <v>0</v>
      </c>
      <c r="I106" s="111">
        <v>0</v>
      </c>
      <c r="J106" s="111">
        <v>0</v>
      </c>
      <c r="K106" s="111">
        <v>0</v>
      </c>
    </row>
    <row r="107" spans="1:11" ht="24.75" customHeight="1" x14ac:dyDescent="0.2">
      <c r="A107" s="217" t="s">
        <v>392</v>
      </c>
      <c r="B107" s="217"/>
      <c r="C107" s="217"/>
      <c r="D107" s="217"/>
      <c r="E107" s="217"/>
      <c r="F107" s="217"/>
      <c r="G107" s="14">
        <v>96</v>
      </c>
      <c r="H107" s="111">
        <v>0</v>
      </c>
      <c r="I107" s="111">
        <v>0</v>
      </c>
      <c r="J107" s="111">
        <v>0</v>
      </c>
      <c r="K107" s="111">
        <v>0</v>
      </c>
    </row>
    <row r="108" spans="1:11" ht="22.9" customHeight="1" x14ac:dyDescent="0.2">
      <c r="A108" s="194" t="s">
        <v>439</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x14ac:dyDescent="0.2">
      <c r="A109" s="194" t="s">
        <v>393</v>
      </c>
      <c r="B109" s="194"/>
      <c r="C109" s="194"/>
      <c r="D109" s="194"/>
      <c r="E109" s="194"/>
      <c r="F109" s="194"/>
      <c r="G109" s="15">
        <v>98</v>
      </c>
      <c r="H109" s="110">
        <f>H89+H108</f>
        <v>0</v>
      </c>
      <c r="I109" s="110">
        <f>I89+I108</f>
        <v>0</v>
      </c>
      <c r="J109" s="110">
        <f t="shared" ref="J109:K109" si="12">J89+J108</f>
        <v>0</v>
      </c>
      <c r="K109" s="110">
        <f t="shared" si="12"/>
        <v>0</v>
      </c>
    </row>
    <row r="110" spans="1:11" x14ac:dyDescent="0.2">
      <c r="A110" s="218" t="s">
        <v>164</v>
      </c>
      <c r="B110" s="218"/>
      <c r="C110" s="218"/>
      <c r="D110" s="218"/>
      <c r="E110" s="218"/>
      <c r="F110" s="218"/>
      <c r="G110" s="219"/>
      <c r="H110" s="219"/>
      <c r="I110" s="219"/>
      <c r="J110" s="220"/>
      <c r="K110" s="220"/>
    </row>
    <row r="111" spans="1:11" ht="12.75" customHeight="1" x14ac:dyDescent="0.2">
      <c r="A111" s="213" t="s">
        <v>394</v>
      </c>
      <c r="B111" s="213"/>
      <c r="C111" s="213"/>
      <c r="D111" s="213"/>
      <c r="E111" s="213"/>
      <c r="F111" s="213"/>
      <c r="G111" s="15">
        <v>99</v>
      </c>
      <c r="H111" s="110">
        <f>H112+H113</f>
        <v>0</v>
      </c>
      <c r="I111" s="110">
        <f>I112+I113</f>
        <v>0</v>
      </c>
      <c r="J111" s="110">
        <f>J112+J113</f>
        <v>0</v>
      </c>
      <c r="K111" s="110">
        <f>K112+K113</f>
        <v>0</v>
      </c>
    </row>
    <row r="112" spans="1:11" ht="12.75" customHeight="1" x14ac:dyDescent="0.2">
      <c r="A112" s="214" t="s">
        <v>113</v>
      </c>
      <c r="B112" s="214"/>
      <c r="C112" s="214"/>
      <c r="D112" s="214"/>
      <c r="E112" s="214"/>
      <c r="F112" s="214"/>
      <c r="G112" s="14">
        <v>100</v>
      </c>
      <c r="H112" s="111">
        <v>0</v>
      </c>
      <c r="I112" s="111">
        <v>0</v>
      </c>
      <c r="J112" s="111">
        <v>0</v>
      </c>
      <c r="K112" s="111">
        <v>0</v>
      </c>
    </row>
    <row r="113" spans="1:11" ht="12.75" customHeight="1" x14ac:dyDescent="0.2">
      <c r="A113" s="214" t="s">
        <v>165</v>
      </c>
      <c r="B113" s="214"/>
      <c r="C113" s="214"/>
      <c r="D113" s="214"/>
      <c r="E113" s="214"/>
      <c r="F113" s="214"/>
      <c r="G113" s="14">
        <v>101</v>
      </c>
      <c r="H113" s="111">
        <v>0</v>
      </c>
      <c r="I113" s="111">
        <v>0</v>
      </c>
      <c r="J113" s="111">
        <v>0</v>
      </c>
      <c r="K113" s="111">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rintOptions horizontalCentered="1"/>
  <pageMargins left="0.39370078740157483" right="0.19685039370078741"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40" zoomScaleNormal="100" zoomScaleSheetLayoutView="110" workbookViewId="0">
      <selection activeCell="I25" sqref="I2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9" t="s">
        <v>166</v>
      </c>
      <c r="B1" s="250"/>
      <c r="C1" s="250"/>
      <c r="D1" s="250"/>
      <c r="E1" s="250"/>
      <c r="F1" s="250"/>
      <c r="G1" s="250"/>
      <c r="H1" s="250"/>
      <c r="I1" s="250"/>
    </row>
    <row r="2" spans="1:9" x14ac:dyDescent="0.2">
      <c r="A2" s="251" t="s">
        <v>465</v>
      </c>
      <c r="B2" s="202"/>
      <c r="C2" s="202"/>
      <c r="D2" s="202"/>
      <c r="E2" s="202"/>
      <c r="F2" s="202"/>
      <c r="G2" s="202"/>
      <c r="H2" s="202"/>
      <c r="I2" s="202"/>
    </row>
    <row r="3" spans="1:9" x14ac:dyDescent="0.2">
      <c r="A3" s="255" t="s">
        <v>282</v>
      </c>
      <c r="B3" s="256"/>
      <c r="C3" s="256"/>
      <c r="D3" s="256"/>
      <c r="E3" s="256"/>
      <c r="F3" s="256"/>
      <c r="G3" s="256"/>
      <c r="H3" s="256"/>
      <c r="I3" s="256"/>
    </row>
    <row r="4" spans="1:9" x14ac:dyDescent="0.2">
      <c r="A4" s="252" t="s">
        <v>463</v>
      </c>
      <c r="B4" s="253"/>
      <c r="C4" s="253"/>
      <c r="D4" s="253"/>
      <c r="E4" s="253"/>
      <c r="F4" s="253"/>
      <c r="G4" s="253"/>
      <c r="H4" s="253"/>
      <c r="I4" s="254"/>
    </row>
    <row r="5" spans="1:9" ht="23.25" x14ac:dyDescent="0.2">
      <c r="A5" s="257" t="s">
        <v>2</v>
      </c>
      <c r="B5" s="211"/>
      <c r="C5" s="211"/>
      <c r="D5" s="211"/>
      <c r="E5" s="211"/>
      <c r="F5" s="211"/>
      <c r="G5" s="119" t="s">
        <v>103</v>
      </c>
      <c r="H5" s="120" t="s">
        <v>302</v>
      </c>
      <c r="I5" s="120" t="s">
        <v>279</v>
      </c>
    </row>
    <row r="6" spans="1:9" x14ac:dyDescent="0.2">
      <c r="A6" s="258">
        <v>1</v>
      </c>
      <c r="B6" s="211"/>
      <c r="C6" s="211"/>
      <c r="D6" s="211"/>
      <c r="E6" s="211"/>
      <c r="F6" s="211"/>
      <c r="G6" s="121">
        <v>2</v>
      </c>
      <c r="H6" s="120" t="s">
        <v>167</v>
      </c>
      <c r="I6" s="120" t="s">
        <v>168</v>
      </c>
    </row>
    <row r="7" spans="1:9" x14ac:dyDescent="0.2">
      <c r="A7" s="246" t="s">
        <v>169</v>
      </c>
      <c r="B7" s="246"/>
      <c r="C7" s="246"/>
      <c r="D7" s="246"/>
      <c r="E7" s="246"/>
      <c r="F7" s="246"/>
      <c r="G7" s="246"/>
      <c r="H7" s="246"/>
      <c r="I7" s="246"/>
    </row>
    <row r="8" spans="1:9" ht="12.75" customHeight="1" x14ac:dyDescent="0.2">
      <c r="A8" s="192" t="s">
        <v>170</v>
      </c>
      <c r="B8" s="192"/>
      <c r="C8" s="192"/>
      <c r="D8" s="192"/>
      <c r="E8" s="192"/>
      <c r="F8" s="192"/>
      <c r="G8" s="122">
        <v>1</v>
      </c>
      <c r="H8" s="123">
        <v>-3103899</v>
      </c>
      <c r="I8" s="123">
        <v>-1513934</v>
      </c>
    </row>
    <row r="9" spans="1:9" ht="12.75" customHeight="1" x14ac:dyDescent="0.2">
      <c r="A9" s="248" t="s">
        <v>171</v>
      </c>
      <c r="B9" s="248"/>
      <c r="C9" s="248"/>
      <c r="D9" s="248"/>
      <c r="E9" s="248"/>
      <c r="F9" s="248"/>
      <c r="G9" s="124">
        <v>2</v>
      </c>
      <c r="H9" s="125">
        <f>H10+H11+H12+H13+H14+H15+H16+H17</f>
        <v>2621342</v>
      </c>
      <c r="I9" s="125">
        <f>I10+I11+I12+I13+I14+I15+I16+I17</f>
        <v>4648834</v>
      </c>
    </row>
    <row r="10" spans="1:9" ht="12.75" customHeight="1" x14ac:dyDescent="0.2">
      <c r="A10" s="227" t="s">
        <v>172</v>
      </c>
      <c r="B10" s="227"/>
      <c r="C10" s="227"/>
      <c r="D10" s="227"/>
      <c r="E10" s="227"/>
      <c r="F10" s="227"/>
      <c r="G10" s="122">
        <v>3</v>
      </c>
      <c r="H10" s="123">
        <v>2854661</v>
      </c>
      <c r="I10" s="123">
        <v>2872136</v>
      </c>
    </row>
    <row r="11" spans="1:9" ht="22.15" customHeight="1" x14ac:dyDescent="0.2">
      <c r="A11" s="227" t="s">
        <v>173</v>
      </c>
      <c r="B11" s="227"/>
      <c r="C11" s="227"/>
      <c r="D11" s="227"/>
      <c r="E11" s="227"/>
      <c r="F11" s="227"/>
      <c r="G11" s="122">
        <v>4</v>
      </c>
      <c r="H11" s="123">
        <v>0</v>
      </c>
      <c r="I11" s="123">
        <v>0</v>
      </c>
    </row>
    <row r="12" spans="1:9" ht="23.45" customHeight="1" x14ac:dyDescent="0.2">
      <c r="A12" s="227" t="s">
        <v>174</v>
      </c>
      <c r="B12" s="227"/>
      <c r="C12" s="227"/>
      <c r="D12" s="227"/>
      <c r="E12" s="227"/>
      <c r="F12" s="227"/>
      <c r="G12" s="122">
        <v>5</v>
      </c>
      <c r="H12" s="123">
        <v>0</v>
      </c>
      <c r="I12" s="123">
        <v>0</v>
      </c>
    </row>
    <row r="13" spans="1:9" ht="12.75" customHeight="1" x14ac:dyDescent="0.2">
      <c r="A13" s="227" t="s">
        <v>175</v>
      </c>
      <c r="B13" s="227"/>
      <c r="C13" s="227"/>
      <c r="D13" s="227"/>
      <c r="E13" s="227"/>
      <c r="F13" s="227"/>
      <c r="G13" s="122">
        <v>6</v>
      </c>
      <c r="H13" s="123">
        <v>-247858</v>
      </c>
      <c r="I13" s="123">
        <v>-198086</v>
      </c>
    </row>
    <row r="14" spans="1:9" ht="12.75" customHeight="1" x14ac:dyDescent="0.2">
      <c r="A14" s="227" t="s">
        <v>176</v>
      </c>
      <c r="B14" s="227"/>
      <c r="C14" s="227"/>
      <c r="D14" s="227"/>
      <c r="E14" s="227"/>
      <c r="F14" s="227"/>
      <c r="G14" s="122">
        <v>7</v>
      </c>
      <c r="H14" s="123">
        <v>223447</v>
      </c>
      <c r="I14" s="123">
        <v>474427</v>
      </c>
    </row>
    <row r="15" spans="1:9" ht="12.75" customHeight="1" x14ac:dyDescent="0.2">
      <c r="A15" s="227" t="s">
        <v>177</v>
      </c>
      <c r="B15" s="227"/>
      <c r="C15" s="227"/>
      <c r="D15" s="227"/>
      <c r="E15" s="227"/>
      <c r="F15" s="227"/>
      <c r="G15" s="122">
        <v>8</v>
      </c>
      <c r="H15" s="123">
        <v>0</v>
      </c>
      <c r="I15" s="123">
        <v>0</v>
      </c>
    </row>
    <row r="16" spans="1:9" ht="12.75" customHeight="1" x14ac:dyDescent="0.2">
      <c r="A16" s="227" t="s">
        <v>178</v>
      </c>
      <c r="B16" s="227"/>
      <c r="C16" s="227"/>
      <c r="D16" s="227"/>
      <c r="E16" s="227"/>
      <c r="F16" s="227"/>
      <c r="G16" s="122">
        <v>9</v>
      </c>
      <c r="H16" s="123">
        <v>97485</v>
      </c>
      <c r="I16" s="123">
        <v>0</v>
      </c>
    </row>
    <row r="17" spans="1:9" ht="25.15" customHeight="1" x14ac:dyDescent="0.2">
      <c r="A17" s="227" t="s">
        <v>179</v>
      </c>
      <c r="B17" s="227"/>
      <c r="C17" s="227"/>
      <c r="D17" s="227"/>
      <c r="E17" s="227"/>
      <c r="F17" s="227"/>
      <c r="G17" s="122">
        <v>10</v>
      </c>
      <c r="H17" s="123">
        <v>-306393</v>
      </c>
      <c r="I17" s="123">
        <v>1500357</v>
      </c>
    </row>
    <row r="18" spans="1:9" ht="28.15" customHeight="1" x14ac:dyDescent="0.2">
      <c r="A18" s="244" t="s">
        <v>307</v>
      </c>
      <c r="B18" s="244"/>
      <c r="C18" s="244"/>
      <c r="D18" s="244"/>
      <c r="E18" s="244"/>
      <c r="F18" s="244"/>
      <c r="G18" s="124">
        <v>11</v>
      </c>
      <c r="H18" s="125">
        <f>H8+H9</f>
        <v>-482557</v>
      </c>
      <c r="I18" s="125">
        <f>I8+I9</f>
        <v>3134900</v>
      </c>
    </row>
    <row r="19" spans="1:9" ht="12.75" customHeight="1" x14ac:dyDescent="0.2">
      <c r="A19" s="248" t="s">
        <v>180</v>
      </c>
      <c r="B19" s="248"/>
      <c r="C19" s="248"/>
      <c r="D19" s="248"/>
      <c r="E19" s="248"/>
      <c r="F19" s="248"/>
      <c r="G19" s="124">
        <v>12</v>
      </c>
      <c r="H19" s="125">
        <f>H20+H21+H22+H23</f>
        <v>529839</v>
      </c>
      <c r="I19" s="125">
        <f>I20+I21+I22+I23</f>
        <v>-2715324</v>
      </c>
    </row>
    <row r="20" spans="1:9" ht="12.75" customHeight="1" x14ac:dyDescent="0.2">
      <c r="A20" s="227" t="s">
        <v>181</v>
      </c>
      <c r="B20" s="227"/>
      <c r="C20" s="227"/>
      <c r="D20" s="227"/>
      <c r="E20" s="227"/>
      <c r="F20" s="227"/>
      <c r="G20" s="122">
        <v>13</v>
      </c>
      <c r="H20" s="123">
        <v>693407</v>
      </c>
      <c r="I20" s="123">
        <v>-781716</v>
      </c>
    </row>
    <row r="21" spans="1:9" ht="12.75" customHeight="1" x14ac:dyDescent="0.2">
      <c r="A21" s="227" t="s">
        <v>182</v>
      </c>
      <c r="B21" s="227"/>
      <c r="C21" s="227"/>
      <c r="D21" s="227"/>
      <c r="E21" s="227"/>
      <c r="F21" s="227"/>
      <c r="G21" s="122">
        <v>14</v>
      </c>
      <c r="H21" s="123">
        <v>-27629</v>
      </c>
      <c r="I21" s="123">
        <v>-644370</v>
      </c>
    </row>
    <row r="22" spans="1:9" ht="12.75" customHeight="1" x14ac:dyDescent="0.2">
      <c r="A22" s="227" t="s">
        <v>183</v>
      </c>
      <c r="B22" s="227"/>
      <c r="C22" s="227"/>
      <c r="D22" s="227"/>
      <c r="E22" s="227"/>
      <c r="F22" s="227"/>
      <c r="G22" s="122">
        <v>15</v>
      </c>
      <c r="H22" s="123">
        <v>0</v>
      </c>
      <c r="I22" s="123">
        <v>0</v>
      </c>
    </row>
    <row r="23" spans="1:9" ht="12.75" customHeight="1" x14ac:dyDescent="0.2">
      <c r="A23" s="227" t="s">
        <v>184</v>
      </c>
      <c r="B23" s="227"/>
      <c r="C23" s="227"/>
      <c r="D23" s="227"/>
      <c r="E23" s="227"/>
      <c r="F23" s="227"/>
      <c r="G23" s="122">
        <v>16</v>
      </c>
      <c r="H23" s="123">
        <v>-135939</v>
      </c>
      <c r="I23" s="123">
        <v>-1289238</v>
      </c>
    </row>
    <row r="24" spans="1:9" ht="12.75" customHeight="1" x14ac:dyDescent="0.2">
      <c r="A24" s="244" t="s">
        <v>185</v>
      </c>
      <c r="B24" s="244"/>
      <c r="C24" s="244"/>
      <c r="D24" s="244"/>
      <c r="E24" s="244"/>
      <c r="F24" s="244"/>
      <c r="G24" s="124">
        <v>17</v>
      </c>
      <c r="H24" s="125">
        <f>H18+H19</f>
        <v>47282</v>
      </c>
      <c r="I24" s="125">
        <f>I18+I19</f>
        <v>419576</v>
      </c>
    </row>
    <row r="25" spans="1:9" ht="12.75" customHeight="1" x14ac:dyDescent="0.2">
      <c r="A25" s="192" t="s">
        <v>186</v>
      </c>
      <c r="B25" s="192"/>
      <c r="C25" s="192"/>
      <c r="D25" s="192"/>
      <c r="E25" s="192"/>
      <c r="F25" s="192"/>
      <c r="G25" s="122">
        <v>18</v>
      </c>
      <c r="H25" s="123">
        <v>-2651</v>
      </c>
      <c r="I25" s="132">
        <v>-87146</v>
      </c>
    </row>
    <row r="26" spans="1:9" ht="12.75" customHeight="1" x14ac:dyDescent="0.2">
      <c r="A26" s="192" t="s">
        <v>187</v>
      </c>
      <c r="B26" s="192"/>
      <c r="C26" s="192"/>
      <c r="D26" s="192"/>
      <c r="E26" s="192"/>
      <c r="F26" s="192"/>
      <c r="G26" s="122">
        <v>19</v>
      </c>
      <c r="H26" s="123">
        <v>0</v>
      </c>
      <c r="I26" s="123">
        <v>0</v>
      </c>
    </row>
    <row r="27" spans="1:9" ht="25.9" customHeight="1" x14ac:dyDescent="0.2">
      <c r="A27" s="245" t="s">
        <v>188</v>
      </c>
      <c r="B27" s="245"/>
      <c r="C27" s="245"/>
      <c r="D27" s="245"/>
      <c r="E27" s="245"/>
      <c r="F27" s="245"/>
      <c r="G27" s="124">
        <v>20</v>
      </c>
      <c r="H27" s="125">
        <f>H24+H25+H26</f>
        <v>44631</v>
      </c>
      <c r="I27" s="125">
        <f>I24+I25+I26</f>
        <v>332430</v>
      </c>
    </row>
    <row r="28" spans="1:9" x14ac:dyDescent="0.2">
      <c r="A28" s="246" t="s">
        <v>189</v>
      </c>
      <c r="B28" s="246"/>
      <c r="C28" s="246"/>
      <c r="D28" s="246"/>
      <c r="E28" s="246"/>
      <c r="F28" s="246"/>
      <c r="G28" s="246"/>
      <c r="H28" s="246"/>
      <c r="I28" s="246"/>
    </row>
    <row r="29" spans="1:9" ht="30.6" customHeight="1" x14ac:dyDescent="0.2">
      <c r="A29" s="192" t="s">
        <v>190</v>
      </c>
      <c r="B29" s="192"/>
      <c r="C29" s="192"/>
      <c r="D29" s="192"/>
      <c r="E29" s="192"/>
      <c r="F29" s="192"/>
      <c r="G29" s="122">
        <v>21</v>
      </c>
      <c r="H29" s="126">
        <v>0</v>
      </c>
      <c r="I29" s="126">
        <v>0</v>
      </c>
    </row>
    <row r="30" spans="1:9" ht="12.75" customHeight="1" x14ac:dyDescent="0.2">
      <c r="A30" s="192" t="s">
        <v>191</v>
      </c>
      <c r="B30" s="192"/>
      <c r="C30" s="192"/>
      <c r="D30" s="192"/>
      <c r="E30" s="192"/>
      <c r="F30" s="192"/>
      <c r="G30" s="122">
        <v>22</v>
      </c>
      <c r="H30" s="126">
        <v>0</v>
      </c>
      <c r="I30" s="126">
        <v>0</v>
      </c>
    </row>
    <row r="31" spans="1:9" ht="12.75" customHeight="1" x14ac:dyDescent="0.2">
      <c r="A31" s="192" t="s">
        <v>192</v>
      </c>
      <c r="B31" s="192"/>
      <c r="C31" s="192"/>
      <c r="D31" s="192"/>
      <c r="E31" s="192"/>
      <c r="F31" s="192"/>
      <c r="G31" s="122">
        <v>23</v>
      </c>
      <c r="H31" s="126">
        <v>0</v>
      </c>
      <c r="I31" s="126">
        <v>0</v>
      </c>
    </row>
    <row r="32" spans="1:9" ht="12.75" customHeight="1" x14ac:dyDescent="0.2">
      <c r="A32" s="192" t="s">
        <v>193</v>
      </c>
      <c r="B32" s="192"/>
      <c r="C32" s="192"/>
      <c r="D32" s="192"/>
      <c r="E32" s="192"/>
      <c r="F32" s="192"/>
      <c r="G32" s="122">
        <v>24</v>
      </c>
      <c r="H32" s="126">
        <v>0</v>
      </c>
      <c r="I32" s="126">
        <v>0</v>
      </c>
    </row>
    <row r="33" spans="1:9" ht="12.75" customHeight="1" x14ac:dyDescent="0.2">
      <c r="A33" s="192" t="s">
        <v>194</v>
      </c>
      <c r="B33" s="192"/>
      <c r="C33" s="192"/>
      <c r="D33" s="192"/>
      <c r="E33" s="192"/>
      <c r="F33" s="192"/>
      <c r="G33" s="122">
        <v>25</v>
      </c>
      <c r="H33" s="126">
        <v>0</v>
      </c>
      <c r="I33" s="126">
        <v>0</v>
      </c>
    </row>
    <row r="34" spans="1:9" ht="12.75" customHeight="1" x14ac:dyDescent="0.2">
      <c r="A34" s="192" t="s">
        <v>195</v>
      </c>
      <c r="B34" s="192"/>
      <c r="C34" s="192"/>
      <c r="D34" s="192"/>
      <c r="E34" s="192"/>
      <c r="F34" s="192"/>
      <c r="G34" s="122">
        <v>26</v>
      </c>
      <c r="H34" s="126">
        <v>0</v>
      </c>
      <c r="I34" s="126">
        <v>0</v>
      </c>
    </row>
    <row r="35" spans="1:9" ht="26.45" customHeight="1" x14ac:dyDescent="0.2">
      <c r="A35" s="244" t="s">
        <v>196</v>
      </c>
      <c r="B35" s="244"/>
      <c r="C35" s="244"/>
      <c r="D35" s="244"/>
      <c r="E35" s="244"/>
      <c r="F35" s="244"/>
      <c r="G35" s="124">
        <v>27</v>
      </c>
      <c r="H35" s="127">
        <f>H29+H30+H31+H32+H33+H34</f>
        <v>0</v>
      </c>
      <c r="I35" s="127">
        <f>I29+I30+I31+I32+I33+I34</f>
        <v>0</v>
      </c>
    </row>
    <row r="36" spans="1:9" ht="22.9" customHeight="1" x14ac:dyDescent="0.2">
      <c r="A36" s="192" t="s">
        <v>197</v>
      </c>
      <c r="B36" s="192"/>
      <c r="C36" s="192"/>
      <c r="D36" s="192"/>
      <c r="E36" s="192"/>
      <c r="F36" s="192"/>
      <c r="G36" s="122">
        <v>28</v>
      </c>
      <c r="H36" s="126">
        <v>-17273</v>
      </c>
      <c r="I36" s="126">
        <v>-336597</v>
      </c>
    </row>
    <row r="37" spans="1:9" ht="12.75" customHeight="1" x14ac:dyDescent="0.2">
      <c r="A37" s="192" t="s">
        <v>198</v>
      </c>
      <c r="B37" s="192"/>
      <c r="C37" s="192"/>
      <c r="D37" s="192"/>
      <c r="E37" s="192"/>
      <c r="F37" s="192"/>
      <c r="G37" s="122">
        <v>29</v>
      </c>
      <c r="H37" s="126">
        <v>0</v>
      </c>
      <c r="I37" s="126">
        <v>0</v>
      </c>
    </row>
    <row r="38" spans="1:9" ht="12.75" customHeight="1" x14ac:dyDescent="0.2">
      <c r="A38" s="192" t="s">
        <v>199</v>
      </c>
      <c r="B38" s="192"/>
      <c r="C38" s="192"/>
      <c r="D38" s="192"/>
      <c r="E38" s="192"/>
      <c r="F38" s="192"/>
      <c r="G38" s="122">
        <v>30</v>
      </c>
      <c r="H38" s="126">
        <v>-47969</v>
      </c>
      <c r="I38" s="126">
        <v>0</v>
      </c>
    </row>
    <row r="39" spans="1:9" ht="12.75" customHeight="1" x14ac:dyDescent="0.2">
      <c r="A39" s="192" t="s">
        <v>200</v>
      </c>
      <c r="B39" s="192"/>
      <c r="C39" s="192"/>
      <c r="D39" s="192"/>
      <c r="E39" s="192"/>
      <c r="F39" s="192"/>
      <c r="G39" s="122">
        <v>31</v>
      </c>
      <c r="H39" s="126">
        <v>0</v>
      </c>
      <c r="I39" s="126">
        <v>0</v>
      </c>
    </row>
    <row r="40" spans="1:9" ht="12.75" customHeight="1" x14ac:dyDescent="0.2">
      <c r="A40" s="192" t="s">
        <v>201</v>
      </c>
      <c r="B40" s="192"/>
      <c r="C40" s="192"/>
      <c r="D40" s="192"/>
      <c r="E40" s="192"/>
      <c r="F40" s="192"/>
      <c r="G40" s="122">
        <v>32</v>
      </c>
      <c r="H40" s="126">
        <v>0</v>
      </c>
      <c r="I40" s="126">
        <v>0</v>
      </c>
    </row>
    <row r="41" spans="1:9" ht="24" customHeight="1" x14ac:dyDescent="0.2">
      <c r="A41" s="244" t="s">
        <v>202</v>
      </c>
      <c r="B41" s="244"/>
      <c r="C41" s="244"/>
      <c r="D41" s="244"/>
      <c r="E41" s="244"/>
      <c r="F41" s="244"/>
      <c r="G41" s="124">
        <v>33</v>
      </c>
      <c r="H41" s="127">
        <f>H36+H37+H38+H39+H40</f>
        <v>-65242</v>
      </c>
      <c r="I41" s="127">
        <f>I36+I37+I38+I39+I40</f>
        <v>-336597</v>
      </c>
    </row>
    <row r="42" spans="1:9" ht="29.45" customHeight="1" x14ac:dyDescent="0.2">
      <c r="A42" s="245" t="s">
        <v>203</v>
      </c>
      <c r="B42" s="245"/>
      <c r="C42" s="245"/>
      <c r="D42" s="245"/>
      <c r="E42" s="245"/>
      <c r="F42" s="245"/>
      <c r="G42" s="124">
        <v>34</v>
      </c>
      <c r="H42" s="127">
        <f>H35+H41</f>
        <v>-65242</v>
      </c>
      <c r="I42" s="127">
        <f>I35+I41</f>
        <v>-336597</v>
      </c>
    </row>
    <row r="43" spans="1:9" x14ac:dyDescent="0.2">
      <c r="A43" s="246" t="s">
        <v>204</v>
      </c>
      <c r="B43" s="246"/>
      <c r="C43" s="246"/>
      <c r="D43" s="246"/>
      <c r="E43" s="246"/>
      <c r="F43" s="246"/>
      <c r="G43" s="246"/>
      <c r="H43" s="246"/>
      <c r="I43" s="246"/>
    </row>
    <row r="44" spans="1:9" ht="12.75" customHeight="1" x14ac:dyDescent="0.2">
      <c r="A44" s="192" t="s">
        <v>205</v>
      </c>
      <c r="B44" s="192"/>
      <c r="C44" s="192"/>
      <c r="D44" s="192"/>
      <c r="E44" s="192"/>
      <c r="F44" s="192"/>
      <c r="G44" s="122">
        <v>35</v>
      </c>
      <c r="H44" s="126">
        <v>0</v>
      </c>
      <c r="I44" s="126">
        <v>0</v>
      </c>
    </row>
    <row r="45" spans="1:9" ht="25.15" customHeight="1" x14ac:dyDescent="0.2">
      <c r="A45" s="192" t="s">
        <v>206</v>
      </c>
      <c r="B45" s="192"/>
      <c r="C45" s="192"/>
      <c r="D45" s="192"/>
      <c r="E45" s="192"/>
      <c r="F45" s="192"/>
      <c r="G45" s="122">
        <v>36</v>
      </c>
      <c r="H45" s="126">
        <v>0</v>
      </c>
      <c r="I45" s="126">
        <v>0</v>
      </c>
    </row>
    <row r="46" spans="1:9" ht="12.75" customHeight="1" x14ac:dyDescent="0.2">
      <c r="A46" s="192" t="s">
        <v>207</v>
      </c>
      <c r="B46" s="192"/>
      <c r="C46" s="192"/>
      <c r="D46" s="192"/>
      <c r="E46" s="192"/>
      <c r="F46" s="192"/>
      <c r="G46" s="122">
        <v>37</v>
      </c>
      <c r="H46" s="126">
        <v>0</v>
      </c>
      <c r="I46" s="126">
        <v>0</v>
      </c>
    </row>
    <row r="47" spans="1:9" ht="12.75" customHeight="1" x14ac:dyDescent="0.2">
      <c r="A47" s="192" t="s">
        <v>208</v>
      </c>
      <c r="B47" s="192"/>
      <c r="C47" s="192"/>
      <c r="D47" s="192"/>
      <c r="E47" s="192"/>
      <c r="F47" s="192"/>
      <c r="G47" s="122">
        <v>38</v>
      </c>
      <c r="H47" s="126">
        <v>0</v>
      </c>
      <c r="I47" s="126">
        <v>0</v>
      </c>
    </row>
    <row r="48" spans="1:9" ht="22.15" customHeight="1" x14ac:dyDescent="0.2">
      <c r="A48" s="244" t="s">
        <v>209</v>
      </c>
      <c r="B48" s="244"/>
      <c r="C48" s="244"/>
      <c r="D48" s="244"/>
      <c r="E48" s="244"/>
      <c r="F48" s="244"/>
      <c r="G48" s="124">
        <v>39</v>
      </c>
      <c r="H48" s="127">
        <f>H44+H45+H46+H47</f>
        <v>0</v>
      </c>
      <c r="I48" s="127">
        <f>I44+I45+I46+I47</f>
        <v>0</v>
      </c>
    </row>
    <row r="49" spans="1:9" ht="24.6" customHeight="1" x14ac:dyDescent="0.2">
      <c r="A49" s="192" t="s">
        <v>306</v>
      </c>
      <c r="B49" s="192"/>
      <c r="C49" s="192"/>
      <c r="D49" s="192"/>
      <c r="E49" s="192"/>
      <c r="F49" s="192"/>
      <c r="G49" s="122">
        <v>40</v>
      </c>
      <c r="H49" s="126">
        <v>0</v>
      </c>
      <c r="I49" s="126">
        <v>0</v>
      </c>
    </row>
    <row r="50" spans="1:9" ht="12.75" customHeight="1" x14ac:dyDescent="0.2">
      <c r="A50" s="192" t="s">
        <v>210</v>
      </c>
      <c r="B50" s="192"/>
      <c r="C50" s="192"/>
      <c r="D50" s="192"/>
      <c r="E50" s="192"/>
      <c r="F50" s="192"/>
      <c r="G50" s="122">
        <v>41</v>
      </c>
      <c r="H50" s="126">
        <v>0</v>
      </c>
      <c r="I50" s="126">
        <v>0</v>
      </c>
    </row>
    <row r="51" spans="1:9" ht="12.75" customHeight="1" x14ac:dyDescent="0.2">
      <c r="A51" s="192" t="s">
        <v>211</v>
      </c>
      <c r="B51" s="192"/>
      <c r="C51" s="192"/>
      <c r="D51" s="192"/>
      <c r="E51" s="192"/>
      <c r="F51" s="192"/>
      <c r="G51" s="122">
        <v>42</v>
      </c>
      <c r="H51" s="126">
        <v>0</v>
      </c>
      <c r="I51" s="126">
        <v>0</v>
      </c>
    </row>
    <row r="52" spans="1:9" ht="22.9" customHeight="1" x14ac:dyDescent="0.2">
      <c r="A52" s="192" t="s">
        <v>212</v>
      </c>
      <c r="B52" s="192"/>
      <c r="C52" s="192"/>
      <c r="D52" s="192"/>
      <c r="E52" s="192"/>
      <c r="F52" s="192"/>
      <c r="G52" s="122">
        <v>43</v>
      </c>
      <c r="H52" s="126">
        <v>0</v>
      </c>
      <c r="I52" s="126">
        <v>0</v>
      </c>
    </row>
    <row r="53" spans="1:9" ht="12.75" customHeight="1" x14ac:dyDescent="0.2">
      <c r="A53" s="192" t="s">
        <v>213</v>
      </c>
      <c r="B53" s="192"/>
      <c r="C53" s="192"/>
      <c r="D53" s="192"/>
      <c r="E53" s="192"/>
      <c r="F53" s="192"/>
      <c r="G53" s="122">
        <v>44</v>
      </c>
      <c r="H53" s="126">
        <v>0</v>
      </c>
      <c r="I53" s="126">
        <v>0</v>
      </c>
    </row>
    <row r="54" spans="1:9" ht="30.6" customHeight="1" x14ac:dyDescent="0.2">
      <c r="A54" s="244" t="s">
        <v>214</v>
      </c>
      <c r="B54" s="244"/>
      <c r="C54" s="244"/>
      <c r="D54" s="244"/>
      <c r="E54" s="244"/>
      <c r="F54" s="244"/>
      <c r="G54" s="124">
        <v>45</v>
      </c>
      <c r="H54" s="127">
        <f>H49+H50+H51+H52+H53</f>
        <v>0</v>
      </c>
      <c r="I54" s="127">
        <f>I49+I50+I51+I52+I53</f>
        <v>0</v>
      </c>
    </row>
    <row r="55" spans="1:9" ht="29.45" customHeight="1" x14ac:dyDescent="0.2">
      <c r="A55" s="245" t="s">
        <v>215</v>
      </c>
      <c r="B55" s="245"/>
      <c r="C55" s="245"/>
      <c r="D55" s="245"/>
      <c r="E55" s="245"/>
      <c r="F55" s="245"/>
      <c r="G55" s="124">
        <v>46</v>
      </c>
      <c r="H55" s="127">
        <f>H48+H54</f>
        <v>0</v>
      </c>
      <c r="I55" s="127">
        <f>I48+I54</f>
        <v>0</v>
      </c>
    </row>
    <row r="56" spans="1:9" x14ac:dyDescent="0.2">
      <c r="A56" s="192" t="s">
        <v>216</v>
      </c>
      <c r="B56" s="192"/>
      <c r="C56" s="192"/>
      <c r="D56" s="192"/>
      <c r="E56" s="192"/>
      <c r="F56" s="192"/>
      <c r="G56" s="122">
        <v>47</v>
      </c>
      <c r="H56" s="126">
        <v>0</v>
      </c>
      <c r="I56" s="126">
        <v>0</v>
      </c>
    </row>
    <row r="57" spans="1:9" ht="26.45" customHeight="1" x14ac:dyDescent="0.2">
      <c r="A57" s="245" t="s">
        <v>217</v>
      </c>
      <c r="B57" s="245"/>
      <c r="C57" s="245"/>
      <c r="D57" s="245"/>
      <c r="E57" s="245"/>
      <c r="F57" s="245"/>
      <c r="G57" s="124">
        <v>48</v>
      </c>
      <c r="H57" s="127">
        <f>H27+H42+H55+H56</f>
        <v>-20611</v>
      </c>
      <c r="I57" s="127">
        <f>I27+I42+I55+I56</f>
        <v>-4167</v>
      </c>
    </row>
    <row r="58" spans="1:9" x14ac:dyDescent="0.2">
      <c r="A58" s="247" t="s">
        <v>218</v>
      </c>
      <c r="B58" s="247"/>
      <c r="C58" s="247"/>
      <c r="D58" s="247"/>
      <c r="E58" s="247"/>
      <c r="F58" s="247"/>
      <c r="G58" s="122">
        <v>49</v>
      </c>
      <c r="H58" s="126">
        <v>42908</v>
      </c>
      <c r="I58" s="126">
        <v>22297</v>
      </c>
    </row>
    <row r="59" spans="1:9" ht="31.15" customHeight="1" x14ac:dyDescent="0.2">
      <c r="A59" s="245" t="s">
        <v>219</v>
      </c>
      <c r="B59" s="245"/>
      <c r="C59" s="245"/>
      <c r="D59" s="245"/>
      <c r="E59" s="245"/>
      <c r="F59" s="245"/>
      <c r="G59" s="124">
        <v>50</v>
      </c>
      <c r="H59" s="127">
        <f>H57+H58</f>
        <v>22297</v>
      </c>
      <c r="I59" s="127">
        <f>I57+I58</f>
        <v>18130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49:I54 H36:I38 H40:I41 H25:I25">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rintOptions horizontalCentered="1"/>
  <pageMargins left="0.39370078740157483" right="0.19685039370078741"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9" t="s">
        <v>220</v>
      </c>
      <c r="B1" s="250"/>
      <c r="C1" s="250"/>
      <c r="D1" s="250"/>
      <c r="E1" s="250"/>
      <c r="F1" s="250"/>
      <c r="G1" s="250"/>
      <c r="H1" s="250"/>
      <c r="I1" s="250"/>
    </row>
    <row r="2" spans="1:9" ht="12.75" customHeight="1" x14ac:dyDescent="0.2">
      <c r="A2" s="251" t="s">
        <v>328</v>
      </c>
      <c r="B2" s="202"/>
      <c r="C2" s="202"/>
      <c r="D2" s="202"/>
      <c r="E2" s="202"/>
      <c r="F2" s="202"/>
      <c r="G2" s="202"/>
      <c r="H2" s="202"/>
      <c r="I2" s="202"/>
    </row>
    <row r="3" spans="1:9" x14ac:dyDescent="0.2">
      <c r="A3" s="261" t="s">
        <v>282</v>
      </c>
      <c r="B3" s="262"/>
      <c r="C3" s="262"/>
      <c r="D3" s="262"/>
      <c r="E3" s="262"/>
      <c r="F3" s="262"/>
      <c r="G3" s="262"/>
      <c r="H3" s="262"/>
      <c r="I3" s="262"/>
    </row>
    <row r="4" spans="1:9" x14ac:dyDescent="0.2">
      <c r="A4" s="276" t="s">
        <v>329</v>
      </c>
      <c r="B4" s="206"/>
      <c r="C4" s="206"/>
      <c r="D4" s="206"/>
      <c r="E4" s="206"/>
      <c r="F4" s="206"/>
      <c r="G4" s="206"/>
      <c r="H4" s="206"/>
      <c r="I4" s="207"/>
    </row>
    <row r="5" spans="1:9" ht="24" thickBot="1" x14ac:dyDescent="0.25">
      <c r="A5" s="277" t="s">
        <v>2</v>
      </c>
      <c r="B5" s="278"/>
      <c r="C5" s="278"/>
      <c r="D5" s="278"/>
      <c r="E5" s="278"/>
      <c r="F5" s="279"/>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395</v>
      </c>
      <c r="B12" s="259"/>
      <c r="C12" s="259"/>
      <c r="D12" s="259"/>
      <c r="E12" s="259"/>
      <c r="F12" s="259"/>
      <c r="G12" s="21">
        <v>5</v>
      </c>
      <c r="H12" s="30">
        <v>0</v>
      </c>
      <c r="I12" s="30">
        <v>0</v>
      </c>
    </row>
    <row r="13" spans="1:9" x14ac:dyDescent="0.2">
      <c r="A13" s="260" t="s">
        <v>396</v>
      </c>
      <c r="B13" s="260"/>
      <c r="C13" s="260"/>
      <c r="D13" s="260"/>
      <c r="E13" s="260"/>
      <c r="F13" s="260"/>
      <c r="G13" s="112">
        <v>6</v>
      </c>
      <c r="H13" s="115">
        <f>SUM(H8:H12)</f>
        <v>0</v>
      </c>
      <c r="I13" s="115">
        <f>SUM(I8:I12)</f>
        <v>0</v>
      </c>
    </row>
    <row r="14" spans="1:9" ht="12.75" customHeight="1" x14ac:dyDescent="0.2">
      <c r="A14" s="259" t="s">
        <v>397</v>
      </c>
      <c r="B14" s="259"/>
      <c r="C14" s="259"/>
      <c r="D14" s="259"/>
      <c r="E14" s="259"/>
      <c r="F14" s="259"/>
      <c r="G14" s="21">
        <v>7</v>
      </c>
      <c r="H14" s="30">
        <v>0</v>
      </c>
      <c r="I14" s="30">
        <v>0</v>
      </c>
    </row>
    <row r="15" spans="1:9" ht="12.75" customHeight="1" x14ac:dyDescent="0.2">
      <c r="A15" s="259" t="s">
        <v>398</v>
      </c>
      <c r="B15" s="259"/>
      <c r="C15" s="259"/>
      <c r="D15" s="259"/>
      <c r="E15" s="259"/>
      <c r="F15" s="259"/>
      <c r="G15" s="21">
        <v>8</v>
      </c>
      <c r="H15" s="30">
        <v>0</v>
      </c>
      <c r="I15" s="30">
        <v>0</v>
      </c>
    </row>
    <row r="16" spans="1:9" ht="12.75" customHeight="1" x14ac:dyDescent="0.2">
      <c r="A16" s="259" t="s">
        <v>399</v>
      </c>
      <c r="B16" s="259"/>
      <c r="C16" s="259"/>
      <c r="D16" s="259"/>
      <c r="E16" s="259"/>
      <c r="F16" s="259"/>
      <c r="G16" s="21">
        <v>9</v>
      </c>
      <c r="H16" s="30">
        <v>0</v>
      </c>
      <c r="I16" s="30">
        <v>0</v>
      </c>
    </row>
    <row r="17" spans="1:9" ht="12.75" customHeight="1" x14ac:dyDescent="0.2">
      <c r="A17" s="259" t="s">
        <v>400</v>
      </c>
      <c r="B17" s="259"/>
      <c r="C17" s="259"/>
      <c r="D17" s="259"/>
      <c r="E17" s="259"/>
      <c r="F17" s="259"/>
      <c r="G17" s="21">
        <v>10</v>
      </c>
      <c r="H17" s="30">
        <v>0</v>
      </c>
      <c r="I17" s="30">
        <v>0</v>
      </c>
    </row>
    <row r="18" spans="1:9" ht="12.75" customHeight="1" x14ac:dyDescent="0.2">
      <c r="A18" s="259" t="s">
        <v>401</v>
      </c>
      <c r="B18" s="259"/>
      <c r="C18" s="259"/>
      <c r="D18" s="259"/>
      <c r="E18" s="259"/>
      <c r="F18" s="259"/>
      <c r="G18" s="21">
        <v>11</v>
      </c>
      <c r="H18" s="30">
        <v>0</v>
      </c>
      <c r="I18" s="30">
        <v>0</v>
      </c>
    </row>
    <row r="19" spans="1:9" ht="12.75" customHeight="1" x14ac:dyDescent="0.2">
      <c r="A19" s="259" t="s">
        <v>402</v>
      </c>
      <c r="B19" s="259"/>
      <c r="C19" s="259"/>
      <c r="D19" s="259"/>
      <c r="E19" s="259"/>
      <c r="F19" s="259"/>
      <c r="G19" s="21">
        <v>12</v>
      </c>
      <c r="H19" s="30">
        <v>0</v>
      </c>
      <c r="I19" s="30">
        <v>0</v>
      </c>
    </row>
    <row r="20" spans="1:9" ht="26.25" customHeight="1" x14ac:dyDescent="0.2">
      <c r="A20" s="260" t="s">
        <v>403</v>
      </c>
      <c r="B20" s="260"/>
      <c r="C20" s="260"/>
      <c r="D20" s="260"/>
      <c r="E20" s="260"/>
      <c r="F20" s="260"/>
      <c r="G20" s="112">
        <v>13</v>
      </c>
      <c r="H20" s="115">
        <f>SUM(H14:H19)</f>
        <v>0</v>
      </c>
      <c r="I20" s="115">
        <f>SUM(I14:I19)</f>
        <v>0</v>
      </c>
    </row>
    <row r="21" spans="1:9" ht="27.6" customHeight="1" x14ac:dyDescent="0.2">
      <c r="A21" s="271" t="s">
        <v>404</v>
      </c>
      <c r="B21" s="271"/>
      <c r="C21" s="271"/>
      <c r="D21" s="271"/>
      <c r="E21" s="271"/>
      <c r="F21" s="271"/>
      <c r="G21" s="113">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405</v>
      </c>
      <c r="B29" s="265"/>
      <c r="C29" s="265"/>
      <c r="D29" s="265"/>
      <c r="E29" s="265"/>
      <c r="F29" s="265"/>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406</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407</v>
      </c>
      <c r="B35" s="265"/>
      <c r="C35" s="265"/>
      <c r="D35" s="265"/>
      <c r="E35" s="265"/>
      <c r="F35" s="265"/>
      <c r="G35" s="112">
        <v>27</v>
      </c>
      <c r="H35" s="116">
        <f>SUM(H30:H34)</f>
        <v>0</v>
      </c>
      <c r="I35" s="116">
        <f>SUM(I30:I34)</f>
        <v>0</v>
      </c>
    </row>
    <row r="36" spans="1:9" ht="28.15" customHeight="1" x14ac:dyDescent="0.2">
      <c r="A36" s="271" t="s">
        <v>408</v>
      </c>
      <c r="B36" s="271"/>
      <c r="C36" s="271"/>
      <c r="D36" s="271"/>
      <c r="E36" s="271"/>
      <c r="F36" s="271"/>
      <c r="G36" s="113">
        <v>28</v>
      </c>
      <c r="H36" s="117">
        <f>H29+H35</f>
        <v>0</v>
      </c>
      <c r="I36" s="117">
        <f>I29+I35</f>
        <v>0</v>
      </c>
    </row>
    <row r="37" spans="1:9" x14ac:dyDescent="0.2">
      <c r="A37" s="272" t="s">
        <v>204</v>
      </c>
      <c r="B37" s="273"/>
      <c r="C37" s="273"/>
      <c r="D37" s="273"/>
      <c r="E37" s="273"/>
      <c r="F37" s="273"/>
      <c r="G37" s="273">
        <v>0</v>
      </c>
      <c r="H37" s="273"/>
      <c r="I37" s="274"/>
    </row>
    <row r="38" spans="1:9" ht="12.75" customHeight="1" x14ac:dyDescent="0.2">
      <c r="A38" s="280" t="s">
        <v>235</v>
      </c>
      <c r="B38" s="280"/>
      <c r="C38" s="280"/>
      <c r="D38" s="280"/>
      <c r="E38" s="280"/>
      <c r="F38" s="280"/>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409</v>
      </c>
      <c r="B42" s="265"/>
      <c r="C42" s="265"/>
      <c r="D42" s="265"/>
      <c r="E42" s="265"/>
      <c r="F42" s="265"/>
      <c r="G42" s="112">
        <v>33</v>
      </c>
      <c r="H42" s="116">
        <f>H41+H40+H39+H38</f>
        <v>0</v>
      </c>
      <c r="I42" s="116">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410</v>
      </c>
      <c r="B48" s="265"/>
      <c r="C48" s="265"/>
      <c r="D48" s="265"/>
      <c r="E48" s="265"/>
      <c r="F48" s="265"/>
      <c r="G48" s="112">
        <v>39</v>
      </c>
      <c r="H48" s="116">
        <f>H47+H46+H45+H44+H43</f>
        <v>0</v>
      </c>
      <c r="I48" s="116">
        <f>I47+I46+I45+I44+I43</f>
        <v>0</v>
      </c>
    </row>
    <row r="49" spans="1:9" ht="25.9" customHeight="1" x14ac:dyDescent="0.2">
      <c r="A49" s="266" t="s">
        <v>445</v>
      </c>
      <c r="B49" s="266"/>
      <c r="C49" s="266"/>
      <c r="D49" s="266"/>
      <c r="E49" s="266"/>
      <c r="F49" s="266"/>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411</v>
      </c>
      <c r="B51" s="266"/>
      <c r="C51" s="266"/>
      <c r="D51" s="266"/>
      <c r="E51" s="266"/>
      <c r="F51" s="266"/>
      <c r="G51" s="112">
        <v>42</v>
      </c>
      <c r="H51" s="116">
        <f>H21+H36+H49+H50</f>
        <v>0</v>
      </c>
      <c r="I51" s="116">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412</v>
      </c>
      <c r="B53" s="263"/>
      <c r="C53" s="263"/>
      <c r="D53" s="263"/>
      <c r="E53" s="263"/>
      <c r="F53" s="263"/>
      <c r="G53" s="114">
        <v>44</v>
      </c>
      <c r="H53" s="118">
        <f>H52+H51</f>
        <v>0</v>
      </c>
      <c r="I53" s="118">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4" zoomScale="80" zoomScaleNormal="100" zoomScaleSheetLayoutView="80" workbookViewId="0">
      <selection sqref="A1:J1"/>
    </sheetView>
  </sheetViews>
  <sheetFormatPr defaultRowHeight="12.75" x14ac:dyDescent="0.2"/>
  <cols>
    <col min="1" max="4" width="9.140625" style="1"/>
    <col min="5" max="5" width="10.8554687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9" t="s">
        <v>245</v>
      </c>
      <c r="B1" s="300"/>
      <c r="C1" s="300"/>
      <c r="D1" s="300"/>
      <c r="E1" s="300"/>
      <c r="F1" s="300"/>
      <c r="G1" s="300"/>
      <c r="H1" s="300"/>
      <c r="I1" s="300"/>
      <c r="J1" s="300"/>
      <c r="K1" s="32"/>
    </row>
    <row r="2" spans="1:25" ht="15.75" x14ac:dyDescent="0.2">
      <c r="A2" s="2"/>
      <c r="B2" s="3"/>
      <c r="C2" s="301" t="s">
        <v>246</v>
      </c>
      <c r="D2" s="301"/>
      <c r="E2" s="9">
        <v>44197</v>
      </c>
      <c r="F2" s="4" t="s">
        <v>0</v>
      </c>
      <c r="G2" s="9">
        <v>44561</v>
      </c>
      <c r="H2" s="34"/>
      <c r="I2" s="34"/>
      <c r="J2" s="34"/>
      <c r="K2" s="35"/>
      <c r="X2" s="36" t="s">
        <v>282</v>
      </c>
    </row>
    <row r="3" spans="1:25" ht="13.5" customHeight="1" thickBot="1" x14ac:dyDescent="0.25">
      <c r="A3" s="302" t="s">
        <v>247</v>
      </c>
      <c r="B3" s="303"/>
      <c r="C3" s="303"/>
      <c r="D3" s="303"/>
      <c r="E3" s="303"/>
      <c r="F3" s="303"/>
      <c r="G3" s="306"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304"/>
      <c r="B4" s="305"/>
      <c r="C4" s="305"/>
      <c r="D4" s="305"/>
      <c r="E4" s="305"/>
      <c r="F4" s="305"/>
      <c r="G4" s="307"/>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91"/>
      <c r="Y4" s="293"/>
    </row>
    <row r="5" spans="1:25" ht="22.5" x14ac:dyDescent="0.2">
      <c r="A5" s="294">
        <v>1</v>
      </c>
      <c r="B5" s="295"/>
      <c r="C5" s="295"/>
      <c r="D5" s="295"/>
      <c r="E5" s="295"/>
      <c r="F5" s="29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88" t="s">
        <v>299</v>
      </c>
      <c r="B7" s="288"/>
      <c r="C7" s="288"/>
      <c r="D7" s="288"/>
      <c r="E7" s="288"/>
      <c r="F7" s="288"/>
      <c r="G7" s="6">
        <v>1</v>
      </c>
      <c r="H7" s="41">
        <v>74620310</v>
      </c>
      <c r="I7" s="41">
        <v>14059645</v>
      </c>
      <c r="J7" s="41">
        <v>0</v>
      </c>
      <c r="K7" s="41">
        <v>0</v>
      </c>
      <c r="L7" s="41">
        <v>0</v>
      </c>
      <c r="M7" s="41">
        <v>0</v>
      </c>
      <c r="N7" s="41">
        <v>14854</v>
      </c>
      <c r="O7" s="41">
        <v>0</v>
      </c>
      <c r="P7" s="41">
        <v>0</v>
      </c>
      <c r="Q7" s="41">
        <v>0</v>
      </c>
      <c r="R7" s="41">
        <v>0</v>
      </c>
      <c r="S7" s="41">
        <v>0</v>
      </c>
      <c r="T7" s="41">
        <v>0</v>
      </c>
      <c r="U7" s="41">
        <v>7461039</v>
      </c>
      <c r="V7" s="41">
        <v>649324</v>
      </c>
      <c r="W7" s="42">
        <f>H7+I7+J7+K7-L7+M7+N7+O7+P7+Q7+R7+U7+V7</f>
        <v>96805172</v>
      </c>
      <c r="X7" s="41">
        <v>0</v>
      </c>
      <c r="Y7" s="42">
        <f>W7+X7</f>
        <v>96805172</v>
      </c>
    </row>
    <row r="8" spans="1:25" x14ac:dyDescent="0.2">
      <c r="A8" s="283" t="s">
        <v>265</v>
      </c>
      <c r="B8" s="283"/>
      <c r="C8" s="283"/>
      <c r="D8" s="283"/>
      <c r="E8" s="283"/>
      <c r="F8" s="28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3" t="s">
        <v>266</v>
      </c>
      <c r="B9" s="283"/>
      <c r="C9" s="283"/>
      <c r="D9" s="283"/>
      <c r="E9" s="283"/>
      <c r="F9" s="28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9" t="s">
        <v>300</v>
      </c>
      <c r="B10" s="289"/>
      <c r="C10" s="289"/>
      <c r="D10" s="289"/>
      <c r="E10" s="289"/>
      <c r="F10" s="289"/>
      <c r="G10" s="7">
        <v>4</v>
      </c>
      <c r="H10" s="42">
        <f>H7+H8+H9</f>
        <v>74620310</v>
      </c>
      <c r="I10" s="42">
        <f t="shared" ref="I10:Y10" si="2">I7+I8+I9</f>
        <v>14059645</v>
      </c>
      <c r="J10" s="42">
        <f t="shared" si="2"/>
        <v>0</v>
      </c>
      <c r="K10" s="42">
        <f>K7+K8+K9</f>
        <v>0</v>
      </c>
      <c r="L10" s="42">
        <f t="shared" si="2"/>
        <v>0</v>
      </c>
      <c r="M10" s="42">
        <f t="shared" si="2"/>
        <v>0</v>
      </c>
      <c r="N10" s="42">
        <f t="shared" si="2"/>
        <v>14854</v>
      </c>
      <c r="O10" s="42">
        <f t="shared" si="2"/>
        <v>0</v>
      </c>
      <c r="P10" s="42">
        <f t="shared" si="2"/>
        <v>0</v>
      </c>
      <c r="Q10" s="42">
        <f t="shared" si="2"/>
        <v>0</v>
      </c>
      <c r="R10" s="42">
        <f t="shared" si="2"/>
        <v>0</v>
      </c>
      <c r="S10" s="42">
        <f t="shared" si="2"/>
        <v>0</v>
      </c>
      <c r="T10" s="42">
        <f t="shared" si="2"/>
        <v>0</v>
      </c>
      <c r="U10" s="42">
        <f t="shared" si="2"/>
        <v>7461039</v>
      </c>
      <c r="V10" s="42">
        <f t="shared" si="2"/>
        <v>649324</v>
      </c>
      <c r="W10" s="42">
        <f t="shared" si="2"/>
        <v>96805172</v>
      </c>
      <c r="X10" s="42">
        <f t="shared" si="2"/>
        <v>0</v>
      </c>
      <c r="Y10" s="42">
        <f t="shared" si="2"/>
        <v>96805172</v>
      </c>
    </row>
    <row r="11" spans="1:25" x14ac:dyDescent="0.2">
      <c r="A11" s="283" t="s">
        <v>267</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41">
        <v>-3103899</v>
      </c>
      <c r="W11" s="42">
        <f t="shared" ref="W11:W29" si="3">H11+I11+J11+K11-L11+M11+N11+O11+P11+Q11+R11+U11+V11+S11+T11</f>
        <v>-3103899</v>
      </c>
      <c r="X11" s="41">
        <v>0</v>
      </c>
      <c r="Y11" s="42">
        <f t="shared" ref="Y11:Y29" si="4">W11+X11</f>
        <v>-3103899</v>
      </c>
    </row>
    <row r="12" spans="1:25" x14ac:dyDescent="0.2">
      <c r="A12" s="283" t="s">
        <v>268</v>
      </c>
      <c r="B12" s="283"/>
      <c r="C12" s="283"/>
      <c r="D12" s="283"/>
      <c r="E12" s="283"/>
      <c r="F12" s="28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3" t="s">
        <v>269</v>
      </c>
      <c r="B13" s="283"/>
      <c r="C13" s="283"/>
      <c r="D13" s="283"/>
      <c r="E13" s="283"/>
      <c r="F13" s="28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3" t="s">
        <v>419</v>
      </c>
      <c r="B14" s="283"/>
      <c r="C14" s="283"/>
      <c r="D14" s="283"/>
      <c r="E14" s="283"/>
      <c r="F14" s="28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3" t="s">
        <v>270</v>
      </c>
      <c r="B15" s="283"/>
      <c r="C15" s="283"/>
      <c r="D15" s="283"/>
      <c r="E15" s="283"/>
      <c r="F15" s="28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3" t="s">
        <v>271</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3" t="s">
        <v>272</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v>0</v>
      </c>
      <c r="X17" s="41">
        <v>0</v>
      </c>
      <c r="Y17" s="42">
        <f t="shared" si="4"/>
        <v>0</v>
      </c>
    </row>
    <row r="18" spans="1:25" x14ac:dyDescent="0.2">
      <c r="A18" s="283" t="s">
        <v>273</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3" t="s">
        <v>274</v>
      </c>
      <c r="B19" s="283"/>
      <c r="C19" s="283"/>
      <c r="D19" s="283"/>
      <c r="E19" s="283"/>
      <c r="F19" s="283"/>
      <c r="G19" s="6">
        <v>13</v>
      </c>
      <c r="H19" s="41">
        <v>0</v>
      </c>
      <c r="I19" s="41">
        <v>0</v>
      </c>
      <c r="J19" s="41">
        <v>0</v>
      </c>
      <c r="K19" s="41">
        <v>0</v>
      </c>
      <c r="L19" s="41">
        <v>0</v>
      </c>
      <c r="M19" s="41">
        <v>0</v>
      </c>
      <c r="N19" s="41">
        <v>0</v>
      </c>
      <c r="O19" s="41">
        <v>0</v>
      </c>
      <c r="P19" s="41">
        <v>0</v>
      </c>
      <c r="Q19" s="41">
        <v>0</v>
      </c>
      <c r="R19" s="41">
        <v>0</v>
      </c>
      <c r="S19" s="41">
        <v>0</v>
      </c>
      <c r="T19" s="41">
        <v>0</v>
      </c>
      <c r="U19" s="41">
        <v>0</v>
      </c>
      <c r="V19" s="41">
        <v>37841</v>
      </c>
      <c r="W19" s="42">
        <f t="shared" si="3"/>
        <v>37841</v>
      </c>
      <c r="X19" s="41">
        <v>0</v>
      </c>
      <c r="Y19" s="42">
        <f t="shared" si="4"/>
        <v>37841</v>
      </c>
    </row>
    <row r="20" spans="1:25" x14ac:dyDescent="0.2">
      <c r="A20" s="283" t="s">
        <v>275</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3" t="s">
        <v>420</v>
      </c>
      <c r="B21" s="283"/>
      <c r="C21" s="283"/>
      <c r="D21" s="283"/>
      <c r="E21" s="283"/>
      <c r="F21" s="28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3" t="s">
        <v>421</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3" t="s">
        <v>422</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3" t="s">
        <v>276</v>
      </c>
      <c r="B24" s="283"/>
      <c r="C24" s="283"/>
      <c r="D24" s="283"/>
      <c r="E24" s="283"/>
      <c r="F24" s="28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3" t="s">
        <v>423</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3" t="s">
        <v>431</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3" t="s">
        <v>424</v>
      </c>
      <c r="B27" s="283"/>
      <c r="C27" s="283"/>
      <c r="D27" s="283"/>
      <c r="E27" s="283"/>
      <c r="F27" s="283"/>
      <c r="G27" s="6">
        <v>21</v>
      </c>
      <c r="H27" s="41">
        <v>0</v>
      </c>
      <c r="I27" s="41">
        <v>0</v>
      </c>
      <c r="J27" s="41">
        <v>0</v>
      </c>
      <c r="K27" s="41">
        <v>0</v>
      </c>
      <c r="L27" s="41">
        <v>0</v>
      </c>
      <c r="M27" s="41">
        <v>0</v>
      </c>
      <c r="N27" s="41">
        <v>0</v>
      </c>
      <c r="O27" s="41">
        <v>0</v>
      </c>
      <c r="P27" s="41">
        <v>0</v>
      </c>
      <c r="Q27" s="41">
        <v>0</v>
      </c>
      <c r="R27" s="41">
        <v>0</v>
      </c>
      <c r="S27" s="41">
        <v>0</v>
      </c>
      <c r="T27" s="41">
        <v>0</v>
      </c>
      <c r="U27" s="41">
        <v>649324</v>
      </c>
      <c r="V27" s="41">
        <v>0</v>
      </c>
      <c r="W27" s="42">
        <f t="shared" si="3"/>
        <v>649324</v>
      </c>
      <c r="X27" s="41">
        <v>0</v>
      </c>
      <c r="Y27" s="42">
        <f t="shared" si="4"/>
        <v>649324</v>
      </c>
    </row>
    <row r="28" spans="1:25" ht="12.75" customHeight="1" x14ac:dyDescent="0.2">
      <c r="A28" s="283" t="s">
        <v>425</v>
      </c>
      <c r="B28" s="283"/>
      <c r="C28" s="283"/>
      <c r="D28" s="283"/>
      <c r="E28" s="283"/>
      <c r="F28" s="283"/>
      <c r="G28" s="6">
        <v>22</v>
      </c>
      <c r="H28" s="41">
        <v>0</v>
      </c>
      <c r="I28" s="41">
        <v>0</v>
      </c>
      <c r="J28" s="41">
        <v>0</v>
      </c>
      <c r="K28" s="41">
        <v>0</v>
      </c>
      <c r="L28" s="41">
        <v>0</v>
      </c>
      <c r="M28" s="41">
        <v>0</v>
      </c>
      <c r="N28" s="41">
        <v>0</v>
      </c>
      <c r="O28" s="41">
        <v>0</v>
      </c>
      <c r="P28" s="41">
        <v>0</v>
      </c>
      <c r="Q28" s="41">
        <v>0</v>
      </c>
      <c r="R28" s="41">
        <v>0</v>
      </c>
      <c r="S28" s="41">
        <v>0</v>
      </c>
      <c r="T28" s="41">
        <v>0</v>
      </c>
      <c r="U28" s="41">
        <v>0</v>
      </c>
      <c r="V28" s="41">
        <v>-649324</v>
      </c>
      <c r="W28" s="42">
        <f t="shared" si="3"/>
        <v>-649324</v>
      </c>
      <c r="X28" s="41">
        <v>0</v>
      </c>
      <c r="Y28" s="42">
        <f t="shared" si="4"/>
        <v>-649324</v>
      </c>
    </row>
    <row r="29" spans="1:25" ht="12.75" customHeight="1" x14ac:dyDescent="0.2">
      <c r="A29" s="283" t="s">
        <v>426</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4" t="s">
        <v>427</v>
      </c>
      <c r="B30" s="284"/>
      <c r="C30" s="284"/>
      <c r="D30" s="284"/>
      <c r="E30" s="284"/>
      <c r="F30" s="284"/>
      <c r="G30" s="8">
        <v>24</v>
      </c>
      <c r="H30" s="44">
        <f>SUM(H10:H29)</f>
        <v>74620310</v>
      </c>
      <c r="I30" s="44">
        <f t="shared" ref="I30:Y30" si="5">SUM(I10:I29)</f>
        <v>14059645</v>
      </c>
      <c r="J30" s="44">
        <f t="shared" si="5"/>
        <v>0</v>
      </c>
      <c r="K30" s="44">
        <f t="shared" si="5"/>
        <v>0</v>
      </c>
      <c r="L30" s="44">
        <f t="shared" si="5"/>
        <v>0</v>
      </c>
      <c r="M30" s="44">
        <f t="shared" si="5"/>
        <v>0</v>
      </c>
      <c r="N30" s="44">
        <f t="shared" si="5"/>
        <v>14854</v>
      </c>
      <c r="O30" s="44">
        <f t="shared" si="5"/>
        <v>0</v>
      </c>
      <c r="P30" s="44">
        <f t="shared" si="5"/>
        <v>0</v>
      </c>
      <c r="Q30" s="44">
        <f t="shared" si="5"/>
        <v>0</v>
      </c>
      <c r="R30" s="44">
        <f t="shared" si="5"/>
        <v>0</v>
      </c>
      <c r="S30" s="44">
        <f t="shared" si="5"/>
        <v>0</v>
      </c>
      <c r="T30" s="44">
        <f t="shared" si="5"/>
        <v>0</v>
      </c>
      <c r="U30" s="44">
        <f t="shared" si="5"/>
        <v>8110363</v>
      </c>
      <c r="V30" s="44">
        <f t="shared" si="5"/>
        <v>-3066058</v>
      </c>
      <c r="W30" s="44">
        <f t="shared" si="5"/>
        <v>93739114</v>
      </c>
      <c r="X30" s="44">
        <f t="shared" si="5"/>
        <v>0</v>
      </c>
      <c r="Y30" s="44">
        <f t="shared" si="5"/>
        <v>93739114</v>
      </c>
    </row>
    <row r="31" spans="1:25" x14ac:dyDescent="0.2">
      <c r="A31" s="285" t="s">
        <v>277</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row>
    <row r="32" spans="1:25" ht="36.75" customHeight="1" x14ac:dyDescent="0.2">
      <c r="A32" s="281" t="s">
        <v>278</v>
      </c>
      <c r="B32" s="281"/>
      <c r="C32" s="281"/>
      <c r="D32" s="281"/>
      <c r="E32" s="281"/>
      <c r="F32" s="28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37841</v>
      </c>
      <c r="W32" s="42">
        <f t="shared" si="6"/>
        <v>37841</v>
      </c>
      <c r="X32" s="42">
        <f t="shared" si="6"/>
        <v>0</v>
      </c>
      <c r="Y32" s="42">
        <f t="shared" si="6"/>
        <v>37841</v>
      </c>
    </row>
    <row r="33" spans="1:25" ht="31.5" customHeight="1" x14ac:dyDescent="0.2">
      <c r="A33" s="281" t="s">
        <v>428</v>
      </c>
      <c r="B33" s="281"/>
      <c r="C33" s="281"/>
      <c r="D33" s="281"/>
      <c r="E33" s="281"/>
      <c r="F33" s="281"/>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-3066058</v>
      </c>
      <c r="W33" s="42">
        <f t="shared" si="8"/>
        <v>-3066058</v>
      </c>
      <c r="X33" s="42">
        <f t="shared" si="8"/>
        <v>0</v>
      </c>
      <c r="Y33" s="42">
        <f t="shared" si="8"/>
        <v>-3066058</v>
      </c>
    </row>
    <row r="34" spans="1:25" ht="30.75" customHeight="1" x14ac:dyDescent="0.2">
      <c r="A34" s="282" t="s">
        <v>429</v>
      </c>
      <c r="B34" s="282"/>
      <c r="C34" s="282"/>
      <c r="D34" s="282"/>
      <c r="E34" s="282"/>
      <c r="F34" s="28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649324</v>
      </c>
      <c r="V34" s="44">
        <f t="shared" si="10"/>
        <v>-649324</v>
      </c>
      <c r="W34" s="44">
        <f t="shared" si="10"/>
        <v>0</v>
      </c>
      <c r="X34" s="44">
        <f t="shared" si="10"/>
        <v>0</v>
      </c>
      <c r="Y34" s="44">
        <f t="shared" si="10"/>
        <v>0</v>
      </c>
    </row>
    <row r="35" spans="1:25" x14ac:dyDescent="0.2">
      <c r="A35" s="285" t="s">
        <v>279</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row>
    <row r="36" spans="1:25" ht="12.75" customHeight="1" x14ac:dyDescent="0.2">
      <c r="A36" s="288" t="s">
        <v>301</v>
      </c>
      <c r="B36" s="288"/>
      <c r="C36" s="288"/>
      <c r="D36" s="288"/>
      <c r="E36" s="288"/>
      <c r="F36" s="288"/>
      <c r="G36" s="6">
        <v>28</v>
      </c>
      <c r="H36" s="41">
        <v>74620310</v>
      </c>
      <c r="I36" s="41">
        <v>14059645</v>
      </c>
      <c r="J36" s="41">
        <v>0</v>
      </c>
      <c r="K36" s="41">
        <v>0</v>
      </c>
      <c r="L36" s="41">
        <v>0</v>
      </c>
      <c r="M36" s="41">
        <v>0</v>
      </c>
      <c r="N36" s="41">
        <v>14854</v>
      </c>
      <c r="O36" s="41">
        <v>0</v>
      </c>
      <c r="P36" s="41">
        <v>0</v>
      </c>
      <c r="Q36" s="41">
        <v>0</v>
      </c>
      <c r="R36" s="41">
        <v>0</v>
      </c>
      <c r="S36" s="41">
        <v>0</v>
      </c>
      <c r="T36" s="41">
        <v>0</v>
      </c>
      <c r="U36" s="41">
        <v>8148204</v>
      </c>
      <c r="V36" s="41">
        <v>-3103899</v>
      </c>
      <c r="W36" s="45">
        <f>H36+I36+J36+K36-L36+M36+N36+O36+P36+Q36+R36+U36+V36+S36+T36</f>
        <v>93739114</v>
      </c>
      <c r="X36" s="41">
        <v>0</v>
      </c>
      <c r="Y36" s="45">
        <f t="shared" ref="Y36:Y38" si="12">W36+X36</f>
        <v>93739114</v>
      </c>
    </row>
    <row r="37" spans="1:25" ht="12.75" customHeight="1" x14ac:dyDescent="0.2">
      <c r="A37" s="283" t="s">
        <v>265</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3" t="s">
        <v>266</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9" t="s">
        <v>430</v>
      </c>
      <c r="B39" s="289"/>
      <c r="C39" s="289"/>
      <c r="D39" s="289"/>
      <c r="E39" s="289"/>
      <c r="F39" s="289"/>
      <c r="G39" s="7">
        <v>31</v>
      </c>
      <c r="H39" s="42">
        <f>H36+H37+H38</f>
        <v>74620310</v>
      </c>
      <c r="I39" s="42">
        <f t="shared" ref="I39:Y39" si="14">I36+I37+I38</f>
        <v>14059645</v>
      </c>
      <c r="J39" s="42">
        <f t="shared" si="14"/>
        <v>0</v>
      </c>
      <c r="K39" s="42">
        <f t="shared" si="14"/>
        <v>0</v>
      </c>
      <c r="L39" s="42">
        <f t="shared" si="14"/>
        <v>0</v>
      </c>
      <c r="M39" s="42">
        <f t="shared" si="14"/>
        <v>0</v>
      </c>
      <c r="N39" s="42">
        <f t="shared" si="14"/>
        <v>14854</v>
      </c>
      <c r="O39" s="42">
        <f t="shared" si="14"/>
        <v>0</v>
      </c>
      <c r="P39" s="42">
        <f t="shared" si="14"/>
        <v>0</v>
      </c>
      <c r="Q39" s="42">
        <f t="shared" si="14"/>
        <v>0</v>
      </c>
      <c r="R39" s="42">
        <f t="shared" si="14"/>
        <v>0</v>
      </c>
      <c r="S39" s="42">
        <f t="shared" si="14"/>
        <v>0</v>
      </c>
      <c r="T39" s="42">
        <f t="shared" si="14"/>
        <v>0</v>
      </c>
      <c r="U39" s="42">
        <f t="shared" si="14"/>
        <v>8148204</v>
      </c>
      <c r="V39" s="42">
        <f t="shared" si="14"/>
        <v>-3103899</v>
      </c>
      <c r="W39" s="42">
        <f t="shared" si="14"/>
        <v>93739114</v>
      </c>
      <c r="X39" s="42">
        <f t="shared" si="14"/>
        <v>0</v>
      </c>
      <c r="Y39" s="42">
        <f t="shared" si="14"/>
        <v>93739114</v>
      </c>
    </row>
    <row r="40" spans="1:25" ht="12.75" customHeight="1" x14ac:dyDescent="0.2">
      <c r="A40" s="283" t="s">
        <v>267</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41">
        <v>-1513934</v>
      </c>
      <c r="W40" s="45">
        <f t="shared" ref="W40:W58" si="15">H40+I40+J40+K40-L40+M40+N40+O40+P40+Q40+R40+U40+V40+S40+T40</f>
        <v>-1513934</v>
      </c>
      <c r="X40" s="41">
        <v>0</v>
      </c>
      <c r="Y40" s="45">
        <f t="shared" ref="Y40:Y58" si="16">W40+X40</f>
        <v>-1513934</v>
      </c>
    </row>
    <row r="41" spans="1:25" ht="12.75" customHeight="1" x14ac:dyDescent="0.2">
      <c r="A41" s="283" t="s">
        <v>268</v>
      </c>
      <c r="B41" s="283"/>
      <c r="C41" s="283"/>
      <c r="D41" s="283"/>
      <c r="E41" s="283"/>
      <c r="F41" s="28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3" t="s">
        <v>280</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v>0</v>
      </c>
      <c r="X42" s="41">
        <v>0</v>
      </c>
      <c r="Y42" s="45">
        <f t="shared" si="16"/>
        <v>0</v>
      </c>
    </row>
    <row r="43" spans="1:25" ht="20.25" customHeight="1" x14ac:dyDescent="0.2">
      <c r="A43" s="283" t="s">
        <v>419</v>
      </c>
      <c r="B43" s="283"/>
      <c r="C43" s="283"/>
      <c r="D43" s="283"/>
      <c r="E43" s="283"/>
      <c r="F43" s="28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3" t="s">
        <v>270</v>
      </c>
      <c r="B44" s="283"/>
      <c r="C44" s="283"/>
      <c r="D44" s="283"/>
      <c r="E44" s="283"/>
      <c r="F44" s="28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v>0</v>
      </c>
      <c r="X44" s="41">
        <v>0</v>
      </c>
      <c r="Y44" s="45">
        <f t="shared" si="16"/>
        <v>0</v>
      </c>
    </row>
    <row r="45" spans="1:25" ht="29.25" customHeight="1" x14ac:dyDescent="0.2">
      <c r="A45" s="283" t="s">
        <v>271</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3" t="s">
        <v>281</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3" t="s">
        <v>273</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3" t="s">
        <v>274</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3" t="s">
        <v>275</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3" t="s">
        <v>420</v>
      </c>
      <c r="B50" s="283"/>
      <c r="C50" s="283"/>
      <c r="D50" s="283"/>
      <c r="E50" s="283"/>
      <c r="F50" s="28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v>0</v>
      </c>
      <c r="X50" s="41">
        <v>0</v>
      </c>
      <c r="Y50" s="45">
        <f t="shared" si="16"/>
        <v>0</v>
      </c>
    </row>
    <row r="51" spans="1:25" ht="26.25" customHeight="1" x14ac:dyDescent="0.2">
      <c r="A51" s="283" t="s">
        <v>421</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3" t="s">
        <v>422</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3" t="s">
        <v>276</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3" t="s">
        <v>423</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3" t="s">
        <v>431</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3" t="s">
        <v>424</v>
      </c>
      <c r="B56" s="283"/>
      <c r="C56" s="283"/>
      <c r="D56" s="283"/>
      <c r="E56" s="283"/>
      <c r="F56" s="28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3" t="s">
        <v>432</v>
      </c>
      <c r="B57" s="283"/>
      <c r="C57" s="283"/>
      <c r="D57" s="283"/>
      <c r="E57" s="283"/>
      <c r="F57" s="283"/>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3" t="s">
        <v>426</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4" t="s">
        <v>433</v>
      </c>
      <c r="B59" s="284"/>
      <c r="C59" s="284"/>
      <c r="D59" s="284"/>
      <c r="E59" s="284"/>
      <c r="F59" s="284"/>
      <c r="G59" s="8">
        <v>51</v>
      </c>
      <c r="H59" s="44">
        <f>SUM(H39:H58)</f>
        <v>74620310</v>
      </c>
      <c r="I59" s="44">
        <f t="shared" ref="I59:Y59" si="17">SUM(I39:I58)</f>
        <v>14059645</v>
      </c>
      <c r="J59" s="44">
        <f t="shared" si="17"/>
        <v>0</v>
      </c>
      <c r="K59" s="44">
        <f t="shared" si="17"/>
        <v>0</v>
      </c>
      <c r="L59" s="44">
        <f t="shared" si="17"/>
        <v>0</v>
      </c>
      <c r="M59" s="44">
        <f t="shared" si="17"/>
        <v>0</v>
      </c>
      <c r="N59" s="44">
        <f t="shared" si="17"/>
        <v>14854</v>
      </c>
      <c r="O59" s="44">
        <f t="shared" si="17"/>
        <v>0</v>
      </c>
      <c r="P59" s="44">
        <f t="shared" si="17"/>
        <v>0</v>
      </c>
      <c r="Q59" s="44">
        <f t="shared" si="17"/>
        <v>0</v>
      </c>
      <c r="R59" s="44">
        <f t="shared" si="17"/>
        <v>0</v>
      </c>
      <c r="S59" s="44">
        <f t="shared" si="17"/>
        <v>0</v>
      </c>
      <c r="T59" s="44">
        <f t="shared" si="17"/>
        <v>0</v>
      </c>
      <c r="U59" s="44">
        <f t="shared" si="17"/>
        <v>8148204</v>
      </c>
      <c r="V59" s="44">
        <f t="shared" si="17"/>
        <v>-4617833</v>
      </c>
      <c r="W59" s="44">
        <f t="shared" si="17"/>
        <v>92225180</v>
      </c>
      <c r="X59" s="44">
        <f t="shared" si="17"/>
        <v>0</v>
      </c>
      <c r="Y59" s="44">
        <f t="shared" si="17"/>
        <v>92225180</v>
      </c>
    </row>
    <row r="60" spans="1:25" x14ac:dyDescent="0.2">
      <c r="A60" s="285" t="s">
        <v>277</v>
      </c>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row>
    <row r="61" spans="1:25" ht="31.5" customHeight="1" x14ac:dyDescent="0.2">
      <c r="A61" s="281" t="s">
        <v>434</v>
      </c>
      <c r="B61" s="281"/>
      <c r="C61" s="281"/>
      <c r="D61" s="281"/>
      <c r="E61" s="281"/>
      <c r="F61" s="28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81" t="s">
        <v>435</v>
      </c>
      <c r="B62" s="281"/>
      <c r="C62" s="281"/>
      <c r="D62" s="281"/>
      <c r="E62" s="281"/>
      <c r="F62" s="28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-1513934</v>
      </c>
      <c r="W62" s="45">
        <f t="shared" si="20"/>
        <v>-1513934</v>
      </c>
      <c r="X62" s="45">
        <f t="shared" si="20"/>
        <v>0</v>
      </c>
      <c r="Y62" s="45">
        <f t="shared" si="20"/>
        <v>-1513934</v>
      </c>
    </row>
    <row r="63" spans="1:25" ht="29.25" customHeight="1" x14ac:dyDescent="0.2">
      <c r="A63" s="282" t="s">
        <v>436</v>
      </c>
      <c r="B63" s="282"/>
      <c r="C63" s="282"/>
      <c r="D63" s="282"/>
      <c r="E63" s="282"/>
      <c r="F63" s="28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zoomScaleNormal="100" workbookViewId="0">
      <selection activeCell="A41" sqref="A41"/>
    </sheetView>
  </sheetViews>
  <sheetFormatPr defaultRowHeight="12.75" x14ac:dyDescent="0.2"/>
  <cols>
    <col min="9" max="9" width="95" customWidth="1"/>
  </cols>
  <sheetData>
    <row r="1" spans="1:9" ht="12.75" customHeight="1" x14ac:dyDescent="0.2">
      <c r="A1" s="308" t="s">
        <v>466</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sheetData>
  <mergeCells count="1">
    <mergeCell ref="A1:I40"/>
  </mergeCells>
  <pageMargins left="0.15748031496062992" right="0.1574803149606299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 Radić</cp:lastModifiedBy>
  <cp:lastPrinted>2021-10-29T11:56:33Z</cp:lastPrinted>
  <dcterms:created xsi:type="dcterms:W3CDTF">2008-10-17T11:51:54Z</dcterms:created>
  <dcterms:modified xsi:type="dcterms:W3CDTF">2022-02-27T17:20:13Z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