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lenachr-my.sharepoint.com/personal/divnap_lenac_hr/Documents/Documents/HANFA-FINA/2024/"/>
    </mc:Choice>
  </mc:AlternateContent>
  <xr:revisionPtr revIDLastSave="158" documentId="8_{1CEFF178-1E4C-4E58-98EA-2924A3F53B81}" xr6:coauthVersionLast="47" xr6:coauthVersionMax="47" xr10:uidLastSave="{866A4A6B-5DC7-4BBB-9DAF-C3B4233D98A4}"/>
  <bookViews>
    <workbookView xWindow="-120" yWindow="-120" windowWidth="29040" windowHeight="175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 name="_xlnm.Print_Titles" localSheetId="2">RDG!$1:$7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2" i="26" l="1"/>
  <c r="J45" i="26"/>
  <c r="N48" i="22"/>
  <c r="N57" i="22"/>
  <c r="C29" i="25"/>
  <c r="K113" i="26"/>
  <c r="K87" i="26"/>
  <c r="K65" i="26"/>
  <c r="K51" i="26"/>
  <c r="K45" i="26"/>
  <c r="K44" i="26"/>
  <c r="K36" i="26"/>
  <c r="K25" i="26"/>
  <c r="K24" i="26"/>
  <c r="K23" i="26"/>
  <c r="K22" i="26"/>
  <c r="K21" i="26"/>
  <c r="K19" i="26"/>
  <c r="K17" i="26"/>
  <c r="K13" i="26"/>
  <c r="K11" i="26"/>
  <c r="K10" i="26"/>
  <c r="I113" i="26"/>
  <c r="I112" i="26"/>
  <c r="I87" i="26"/>
  <c r="I86" i="26"/>
  <c r="I65" i="26"/>
  <c r="I52" i="26"/>
  <c r="I51" i="26"/>
  <c r="I45" i="26"/>
  <c r="I44" i="26"/>
  <c r="I36" i="26"/>
  <c r="I25" i="26"/>
  <c r="I24" i="26"/>
  <c r="I23" i="26"/>
  <c r="I22" i="26"/>
  <c r="I21" i="26"/>
  <c r="I19" i="26"/>
  <c r="I17" i="26"/>
  <c r="I13" i="26"/>
  <c r="I11" i="26"/>
  <c r="I10" i="26"/>
  <c r="K47" i="26"/>
  <c r="K28" i="26"/>
  <c r="I47" i="26"/>
  <c r="V57" i="22"/>
  <c r="I32" i="26"/>
  <c r="K50" i="26"/>
  <c r="K52" i="26"/>
  <c r="K53" i="26"/>
  <c r="K54" i="26"/>
  <c r="K55" i="26"/>
  <c r="K56" i="26"/>
  <c r="K57" i="26"/>
  <c r="K58" i="26"/>
  <c r="K59" i="26"/>
  <c r="K49" i="26"/>
  <c r="K39" i="26"/>
  <c r="K40" i="26"/>
  <c r="K41" i="26"/>
  <c r="K42" i="26"/>
  <c r="K43" i="26"/>
  <c r="K46" i="26"/>
  <c r="K38" i="26"/>
  <c r="K31" i="26"/>
  <c r="K32" i="26"/>
  <c r="K33" i="26"/>
  <c r="K34" i="26"/>
  <c r="K35" i="26"/>
  <c r="K30" i="26"/>
  <c r="K18" i="26"/>
  <c r="K12" i="26"/>
  <c r="K9" i="26"/>
  <c r="I59" i="26" l="1"/>
  <c r="I58" i="26"/>
  <c r="I57" i="26"/>
  <c r="I56" i="26"/>
  <c r="I55" i="26"/>
  <c r="I54" i="26"/>
  <c r="I53" i="26"/>
  <c r="I50" i="26"/>
  <c r="I49" i="26"/>
  <c r="I46" i="26"/>
  <c r="I43" i="26"/>
  <c r="I42" i="26"/>
  <c r="I41" i="26"/>
  <c r="I40" i="26"/>
  <c r="I39" i="26"/>
  <c r="I38" i="26"/>
  <c r="I35" i="26"/>
  <c r="I34" i="26"/>
  <c r="I33" i="26"/>
  <c r="I31" i="26"/>
  <c r="I30" i="26"/>
  <c r="I18" i="26"/>
  <c r="I12" i="26"/>
  <c r="I9" i="26"/>
  <c r="H56" i="18" l="1"/>
  <c r="I107" i="26" l="1"/>
  <c r="I106" i="26"/>
  <c r="I105" i="26"/>
  <c r="I104" i="26"/>
  <c r="I103" i="26"/>
  <c r="I102" i="26"/>
  <c r="I101" i="26"/>
  <c r="I100" i="26"/>
  <c r="I99" i="26"/>
  <c r="I97" i="26"/>
  <c r="I96" i="26"/>
  <c r="I95" i="26"/>
  <c r="I94" i="26"/>
  <c r="I93" i="26"/>
  <c r="I92" i="26"/>
  <c r="I79" i="26"/>
  <c r="I78" i="26"/>
  <c r="I73" i="26"/>
  <c r="I72" i="26"/>
  <c r="I71" i="26"/>
  <c r="I28" i="26"/>
  <c r="I27" i="26"/>
  <c r="I15" i="26"/>
  <c r="K107" i="26"/>
  <c r="K106" i="26"/>
  <c r="K105" i="26"/>
  <c r="K104" i="26"/>
  <c r="K103" i="26"/>
  <c r="K102" i="26"/>
  <c r="K101" i="26"/>
  <c r="K100" i="26"/>
  <c r="K99" i="26"/>
  <c r="K97" i="26"/>
  <c r="K96" i="26"/>
  <c r="K95" i="26"/>
  <c r="K94" i="26"/>
  <c r="K93" i="26"/>
  <c r="K92" i="26"/>
  <c r="K79" i="26"/>
  <c r="K78" i="26"/>
  <c r="K73" i="26"/>
  <c r="K72" i="26"/>
  <c r="K71" i="26"/>
  <c r="K27" i="26"/>
  <c r="K15"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63" i="26"/>
  <c r="K63" i="26"/>
  <c r="J64" i="26"/>
  <c r="K64" i="26"/>
  <c r="J62" i="26"/>
  <c r="J67" i="26" s="1"/>
  <c r="J86" i="26" s="1"/>
  <c r="J63" i="26"/>
  <c r="H63" i="26"/>
  <c r="K62" i="26"/>
  <c r="K66" i="26" s="1"/>
  <c r="H62" i="26"/>
  <c r="H68" i="26" s="1"/>
  <c r="H64" i="26"/>
  <c r="I51" i="21"/>
  <c r="I53" i="21" s="1"/>
  <c r="H51" i="21"/>
  <c r="H53" i="21" s="1"/>
  <c r="K86" i="26" l="1"/>
  <c r="K85" i="26" s="1"/>
  <c r="K112" i="26"/>
  <c r="J85" i="26"/>
  <c r="J89" i="26" s="1"/>
  <c r="K89" i="26" s="1"/>
  <c r="I67" i="26"/>
  <c r="I68" i="26"/>
  <c r="J66" i="26"/>
  <c r="J68" i="26"/>
  <c r="K67" i="26"/>
  <c r="K68" i="26"/>
  <c r="H66" i="26"/>
  <c r="H89" i="26" s="1"/>
  <c r="H67" i="26"/>
  <c r="I85" i="18"/>
  <c r="H85" i="18"/>
  <c r="K111" i="26" l="1"/>
  <c r="J111" i="26"/>
  <c r="I85" i="26"/>
  <c r="H85" i="26"/>
  <c r="J109" i="26"/>
  <c r="K109" i="26"/>
  <c r="I109" i="26"/>
  <c r="H109" i="26"/>
  <c r="I78" i="18"/>
  <c r="H78" i="18"/>
  <c r="I111" i="26" l="1"/>
  <c r="H111" i="26"/>
  <c r="H54" i="20"/>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X36" i="22" s="1"/>
  <c r="X39" i="22" s="1"/>
  <c r="X59" i="22" s="1"/>
  <c r="V10" i="22"/>
  <c r="V30" i="22" s="1"/>
  <c r="V36" i="22" s="1"/>
  <c r="V39" i="22" s="1"/>
  <c r="V59"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W36" i="22"/>
  <c r="Y36" i="22" s="1"/>
  <c r="Y39" i="22" s="1"/>
  <c r="Y59" i="22" s="1"/>
  <c r="N39" i="22"/>
  <c r="N59" i="22" s="1"/>
  <c r="I24" i="20"/>
  <c r="I27" i="20" s="1"/>
  <c r="I55" i="20"/>
  <c r="H72" i="18"/>
  <c r="H134" i="18" s="1"/>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 r="I134" i="18" s="1"/>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<sst xmlns="http://schemas.openxmlformats.org/spreadsheetml/2006/main" count="537" uniqueCount="472">
  <si>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</si>
  <si>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</si>
  <si>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</si>
  <si>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</si>
  <si>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</si>
  <si>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</si>
  <si>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</si>
  <si>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</si>
  <si>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</si>
  <si>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</si>
  <si>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</si>
  <si>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</si>
  <si>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</si>
  <si>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</si>
  <si>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</si>
  <si>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</si>
  <si>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</si>
  <si>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</si>
  <si>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</si>
  <si>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</si>
  <si>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</si>
  <si>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</si>
  <si>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</si>
  <si>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</si>
  <si>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</si>
  <si>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</si>
  <si>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</si>
  <si>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</si>
  <si>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</si>
  <si>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</si>
  <si>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</si>
  <si>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</si>
  <si>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</si>
  <si>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</si>
  <si>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</si>
  <si>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</si>
  <si>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</si>
  <si>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</si>
  <si>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</si>
  <si>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</si>
  <si>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</si>
  <si>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</si>
  <si>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</si>
  <si>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</si>
  <si>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</si>
  <si>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</si>
  <si>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</si>
  <si>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</si>
  <si>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</si>
  <si>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</si>
  <si>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</si>
  <si>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</si>
  <si>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</si>
  <si>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</si>
  <si>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</si>
  <si>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</si>
  <si>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</si>
  <si>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</si>
  <si>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</si>
  <si>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</si>
  <si>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</si>
  <si>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</si>
  <si>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</si>
  <si>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</si>
  <si>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</si>
  <si>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</si>
  <si>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</si>
  <si>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</si>
  <si>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</si>
  <si>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</si>
  <si>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</si>
  <si>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</si>
  <si>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</si>
  <si>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</si>
  <si>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</si>
  <si>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</si>
  <si>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</si>
  <si>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</si>
  <si>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</si>
  <si>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</si>
  <si>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</si>
  <si>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</si>
  <si>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</si>
  <si>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</si>
  <si>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</si>
  <si>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</si>
  <si>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</si>
  <si>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</si>
  <si>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</si>
  <si>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</si>
  <si>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</si>
  <si>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</si>
  <si>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</si>
  <si>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</si>
  <si>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</si>
  <si>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</si>
  <si>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</si>
  <si>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</si>
  <si>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</si>
  <si>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</si>
  <si>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</si>
  <si>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</si>
  <si>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</si>
  <si>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</si>
  <si>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</si>
  <si>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</si>
  <si>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</si>
  <si>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</si>
  <si>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</si>
  <si>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</si>
  <si>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</si>
  <si>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</si>
  <si>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</si>
  <si>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</si>
  <si>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</si>
  <si>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</si>
  <si>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</si>
  <si>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</si>
  <si>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</si>
  <si>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</si>
  <si>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</si>
  <si>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</si>
  <si>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</si>
  <si>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</si>
  <si>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</si>
  <si>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</si>
  <si>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</si>
  <si>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</si>
  <si>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</si>
  <si>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</si>
  <si>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</si>
  <si>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</si>
  <si>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</si>
  <si>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</si>
  <si>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</si>
  <si>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</si>
  <si>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</si>
  <si>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</si>
  <si>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</si>
  <si>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</si>
  <si>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</si>
  <si>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</si>
  <si>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</si>
  <si>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</si>
  <si>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</si>
  <si>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</si>
  <si>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</si>
  <si>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</si>
  <si>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</si>
  <si>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</si>
  <si>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</si>
  <si>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</si>
  <si>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</si>
  <si>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</si>
  <si>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</si>
  <si>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</si>
  <si>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</si>
  <si>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</si>
  <si>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</si>
  <si>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</si>
  <si>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</si>
  <si>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</si>
  <si>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</si>
  <si>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</si>
  <si>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</si>
  <si>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</si>
  <si>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</si>
  <si>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</si>
  <si>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</si>
  <si>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</si>
  <si>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</si>
  <si>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</si>
  <si>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</si>
  <si>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</si>
  <si>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</si>
  <si>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</si>
  <si>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</si>
  <si>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</si>
  <si>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</si>
  <si>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</si>
  <si>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</si>
  <si>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</si>
  <si>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</si>
  <si>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</si>
  <si>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</si>
  <si>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</si>
  <si>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</si>
  <si>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</si>
  <si>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</si>
  <si>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</si>
  <si>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</si>
  <si>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</si>
  <si>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</si>
  <si>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</si>
  <si>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</si>
  <si>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</si>
  <si>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</si>
  <si>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</si>
  <si>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</si>
  <si>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</si>
  <si>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</si>
  <si>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</si>
  <si>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</si>
  <si>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</si>
  <si>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</si>
  <si>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</si>
  <si>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</si>
  <si>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</si>
  <si>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</si>
  <si>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</si>
  <si>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</si>
  <si>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</si>
  <si>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</si>
  <si>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</si>
  <si>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</si>
  <si>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</si>
  <si>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</si>
  <si>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</si>
  <si>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</si>
  <si>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</si>
  <si>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</si>
  <si>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</si>
  <si>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</si>
  <si>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</si>
  <si>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</si>
  <si>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</si>
  <si>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</si>
  <si>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</si>
  <si>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</si>
  <si>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</si>
  <si>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</si>
  <si>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</si>
  <si>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</si>
  <si>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</si>
  <si>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</si>
  <si>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</si>
  <si>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</si>
  <si>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</si>
  <si>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</si>
  <si>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</si>
  <si>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</si>
  <si>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</si>
  <si>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</si>
  <si>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</si>
  <si>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</si>
  <si>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</si>
  <si>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</si>
  <si>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</si>
  <si>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</si>
  <si>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</si>
  <si>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</si>
  <si>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</si>
  <si>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</si>
  <si>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</si>
  <si>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</si>
  <si>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</si>
  <si>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</si>
  <si>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</si>
  <si>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</si>
  <si>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</si>
  <si>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</si>
  <si>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</si>
  <si>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</si>
  <si>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</si>
  <si>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</si>
  <si>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</si>
  <si>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</si>
  <si>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</si>
  <si>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</si>
  <si>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</si>
  <si>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</si>
  <si>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</si>
  <si>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</si>
  <si>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</si>
  <si>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</si>
  <si>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</si>
  <si>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</si>
  <si>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</si>
  <si>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</si>
  <si>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</si>
  <si>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</si>
  <si>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</si>
  <si>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</si>
  <si>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</si>
  <si>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</si>
  <si>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</si>
  <si>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</si>
  <si>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</si>
  <si>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</si>
  <si>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</si>
  <si>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</si>
  <si>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</si>
  <si>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</si>
  <si>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</si>
  <si>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</si>
  <si>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</si>
  <si>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</si>
  <si>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</si>
  <si>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</si>
  <si>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</si>
  <si>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</si>
  <si>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</si>
  <si>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</si>
  <si>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</si>
  <si>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</si>
  <si>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</si>
  <si>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</si>
  <si>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</si>
  <si>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</si>
  <si>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</si>
  <si>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</si>
  <si>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</si>
  <si>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</si>
  <si>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</si>
  <si>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</si>
  <si>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</si>
  <si>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</si>
  <si>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</si>
  <si>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</si>
  <si>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</si>
  <si>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</si>
  <si>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</si>
  <si>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</si>
  <si>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</si>
  <si>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</si>
  <si>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</si>
  <si>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</si>
  <si>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</si>
  <si>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</si>
  <si>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</si>
  <si>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</si>
  <si>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</si>
  <si>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</si>
  <si>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</si>
  <si>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</si>
  <si>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</si>
  <si>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</si>
  <si>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</si>
  <si>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</si>
  <si>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</si>
  <si>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</si>
  <si>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</si>
  <si>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</si>
  <si>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</si>
  <si>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</si>
  <si>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</si>
  <si>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</si>
  <si>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</si>
  <si>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</si>
  <si>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</si>
  <si>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</si>
  <si>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</si>
  <si>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</si>
  <si>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</si>
  <si>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</si>
  <si>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</si>
  <si>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</si>
  <si>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</si>
  <si>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</si>
  <si>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</si>
  <si>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</si>
  <si>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</si>
  <si>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</si>
  <si>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</si>
  <si>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</si>
  <si>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</si>
  <si>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</si>
  <si>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</si>
  <si>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</si>
  <si>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</si>
  <si>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</si>
  <si>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</si>
  <si>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</si>
  <si>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</si>
  <si>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</si>
  <si>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</si>
  <si>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</si>
  <si>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</si>
  <si>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</si>
  <si>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</si>
  <si>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</si>
  <si>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</si>
  <si>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</si>
  <si>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</si>
  <si>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</si>
  <si>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</si>
  <si>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</si>
  <si>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</si>
  <si>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</si>
  <si>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</si>
  <si>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</si>
  <si>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</si>
  <si>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</si>
  <si>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</si>
  <si>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</si>
  <si>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</si>
  <si>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</si>
  <si>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</si>
  <si>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</si>
  <si>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</si>
  <si>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</si>
  <si>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</si>
  <si>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</si>
  <si>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</si>
  <si>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</si>
  <si>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</si>
  <si>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</si>
  <si>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</si>
  <si>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</si>
  <si>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</si>
  <si>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</si>
  <si>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</si>
  <si>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</si>
  <si>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</si>
  <si>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</si>
  <si>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</si>
  <si>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</si>
  <si>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</si>
  <si>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</si>
  <si>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</si>
  <si>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</si>
  <si>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</si>
  <si>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</si>
  <si>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</si>
  <si>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</si>
  <si>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</si>
  <si>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</si>
  <si>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</si>
  <si>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</si>
  <si>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</si>
  <si>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</si>
  <si>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</si>
  <si>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</si>
  <si>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</si>
  <si>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</si>
  <si>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</si>
  <si>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</si>
  <si>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</si>
  <si>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</si>
  <si>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</si>
  <si>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</si>
  <si>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</si>
  <si>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</si>
  <si>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</si>
  <si>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</si>
  <si>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</si>
  <si>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</si>
  <si>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</si>
  <si>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</si>
  <si>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03333710</t>
  </si>
  <si>
    <t>RH</t>
  </si>
  <si>
    <t>74780060BA4DPK8V1P23</t>
  </si>
  <si>
    <t>040000358</t>
  </si>
  <si>
    <t>27531244647</t>
  </si>
  <si>
    <t>1736</t>
  </si>
  <si>
    <t>Brodogradilište Viktor Lenac d.d.</t>
  </si>
  <si>
    <t>viktor.lenac@lenac.hr</t>
  </si>
  <si>
    <t>www.lenac.hr</t>
  </si>
  <si>
    <t>Divna Pjevalica/Sandra Uzelac</t>
  </si>
  <si>
    <t>051405616</t>
  </si>
  <si>
    <t>divna.pjevalica@lenac.hr</t>
  </si>
  <si>
    <t>Martinšćica 8</t>
  </si>
  <si>
    <t>Kostrena</t>
  </si>
  <si>
    <t>VL Steel d.o.o.</t>
  </si>
  <si>
    <t>Rijeka, Radnička 39</t>
  </si>
  <si>
    <t>04798759</t>
  </si>
  <si>
    <t>Obveznik:Brodogradilište Viktor Lenac - GRUPA</t>
  </si>
  <si>
    <t>Obveznik: Brodogradilište Viktor Lenac - GRUPA</t>
  </si>
  <si>
    <t>stanje na dan 31.12.2024</t>
  </si>
  <si>
    <t>u razdoblju 1.1.2024 do 31.12.2024</t>
  </si>
  <si>
    <t>u razdoblju 1.1.2024. do 31.12.2024.</t>
  </si>
  <si>
    <t>BILJEŠKE UZ FINANCIJSKE IZVJEŠTAJE - TFI
(koji se sastavljaju za tromjesečna razdoblja)
Naziv izdavatelja:   Brodogradilište Viktor Lenac d.d.
OIB:   27531244647
ISIN oznaka: HRVLENRB0001
Oznaka vrijednosnice: VLEN
Redovito tržište Zagrbačke burze
Izvještajno razdoblje: 01.1.2024-31.12.2024.
Radi pojašnjavanja pozicija RDG-a i pozicija Bilance iz standardnog obrasca TFI-POD i financijskog izvještaja Društva navodimo slijedeće:
Društvo za kvartalna razdoblja posebno ne izdaje bilješke vezane uz Konsolidirani izvještaj zbog malog utjecaja Ovisnog društva na bilančne pozicije i pozicije računa dobiti i gubitka i obzirom da ovisno Društvo nema značajnije imovine. Većina prihoda ovisnog Društva ostvarena je u poslovanju s matičnim društvom i predmet su međusobnih eliminacija u izradi konsolidiranog izvještaja. Stoga bilješke nemaju značajniju materijalnu razliku u odnosu na iskazane podatke Matice.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</si>
</sst>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12" borderId="36" xfId="4" quotePrefix="1"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E14" sqref="E14:F14"/>
    </sheetView>
  </sheetViews>
  <sheetFormatPr defaultColWidth="9.140625" defaultRowHeight="15" x14ac:dyDescent="0.25"/>
  <cols>
    <col min="1" max="8" width="9.140625" style="81"/>
    <col min="9" max="9" width="15.28515625" style="81" customWidth="1"/>
    <col min="10" max="10" width="9.140625" style="81"/>
    <col min="11" max="13" width="9.140625" style="79"/>
    <col min="14" max="14" width="9.140625" style="80"/>
    <col min="15" max="20" width="9.140625" style="79"/>
    <col min="21" max="16384" width="9.140625" style="81"/>
  </cols>
  <sheetData>
    <row r="1" spans="1:20" ht="15.75" x14ac:dyDescent="0.25">
      <c r="A1" s="169" t="s">
        <v>307</v>
      </c>
      <c r="B1" s="170"/>
      <c r="C1" s="170"/>
      <c r="D1" s="77"/>
      <c r="E1" s="77"/>
      <c r="F1" s="77"/>
      <c r="G1" s="77"/>
      <c r="H1" s="77"/>
      <c r="I1" s="77"/>
      <c r="J1" s="78"/>
    </row>
    <row r="2" spans="1:20" ht="14.45" customHeight="1" x14ac:dyDescent="0.25">
      <c r="A2" s="171" t="s">
        <v>323</v>
      </c>
      <c r="B2" s="172"/>
      <c r="C2" s="172"/>
      <c r="D2" s="172"/>
      <c r="E2" s="172"/>
      <c r="F2" s="172"/>
      <c r="G2" s="172"/>
      <c r="H2" s="172"/>
      <c r="I2" s="172"/>
      <c r="J2" s="173"/>
    </row>
    <row r="3" spans="1:20" x14ac:dyDescent="0.25">
      <c r="A3" s="82"/>
      <c r="B3" s="83"/>
      <c r="C3" s="83"/>
      <c r="D3" s="83"/>
      <c r="E3" s="83"/>
      <c r="F3" s="83"/>
      <c r="G3" s="83"/>
      <c r="H3" s="83"/>
      <c r="I3" s="83"/>
      <c r="J3" s="84"/>
    </row>
    <row r="4" spans="1:20" ht="33.6" customHeight="1" x14ac:dyDescent="0.25">
      <c r="A4" s="174" t="s">
        <v>308</v>
      </c>
      <c r="B4" s="175"/>
      <c r="C4" s="175"/>
      <c r="D4" s="175"/>
      <c r="E4" s="176">
        <v>45292</v>
      </c>
      <c r="F4" s="177"/>
      <c r="G4" s="85" t="s">
        <v>0</v>
      </c>
      <c r="H4" s="176">
        <v>45657</v>
      </c>
      <c r="I4" s="177"/>
      <c r="J4" s="86"/>
    </row>
    <row r="5" spans="1:20" s="79" customFormat="1" ht="10.15" customHeight="1" x14ac:dyDescent="0.25">
      <c r="A5" s="178"/>
      <c r="B5" s="179"/>
      <c r="C5" s="179"/>
      <c r="D5" s="179"/>
      <c r="E5" s="179"/>
      <c r="F5" s="179"/>
      <c r="G5" s="179"/>
      <c r="H5" s="179"/>
      <c r="I5" s="179"/>
      <c r="J5" s="180"/>
      <c r="N5" s="80"/>
    </row>
    <row r="6" spans="1:20" ht="20.45" customHeight="1" x14ac:dyDescent="0.25">
      <c r="A6" s="87"/>
      <c r="B6" s="88" t="s">
        <v>330</v>
      </c>
      <c r="C6" s="89"/>
      <c r="D6" s="89"/>
      <c r="E6" s="42">
        <v>2024</v>
      </c>
      <c r="F6" s="39"/>
      <c r="G6" s="85"/>
      <c r="H6" s="39"/>
      <c r="I6" s="40"/>
      <c r="J6" s="90"/>
    </row>
    <row r="7" spans="1:20" s="93" customFormat="1" ht="10.9" customHeight="1" x14ac:dyDescent="0.25">
      <c r="A7" s="87"/>
      <c r="B7" s="89"/>
      <c r="C7" s="89"/>
      <c r="D7" s="89"/>
      <c r="E7" s="41"/>
      <c r="F7" s="41"/>
      <c r="G7" s="85"/>
      <c r="H7" s="39"/>
      <c r="I7" s="40"/>
      <c r="J7" s="90"/>
      <c r="K7" s="91"/>
      <c r="L7" s="91"/>
      <c r="M7" s="91"/>
      <c r="N7" s="92"/>
      <c r="O7" s="91"/>
      <c r="P7" s="91"/>
      <c r="Q7" s="91"/>
      <c r="R7" s="91"/>
      <c r="S7" s="91"/>
      <c r="T7" s="91"/>
    </row>
    <row r="8" spans="1:20" ht="20.45" customHeight="1" x14ac:dyDescent="0.25">
      <c r="A8" s="87"/>
      <c r="B8" s="88" t="s">
        <v>331</v>
      </c>
      <c r="C8" s="89"/>
      <c r="D8" s="89"/>
      <c r="E8" s="42">
        <v>4</v>
      </c>
      <c r="F8" s="39"/>
      <c r="G8" s="85"/>
      <c r="H8" s="39"/>
      <c r="I8" s="40"/>
      <c r="J8" s="90"/>
    </row>
    <row r="9" spans="1:20" s="93" customFormat="1" ht="10.9" customHeight="1" x14ac:dyDescent="0.25">
      <c r="A9" s="87"/>
      <c r="B9" s="89"/>
      <c r="C9" s="89"/>
      <c r="D9" s="89"/>
      <c r="E9" s="41"/>
      <c r="F9" s="41"/>
      <c r="G9" s="85"/>
      <c r="H9" s="41"/>
      <c r="I9" s="43"/>
      <c r="J9" s="90"/>
      <c r="K9" s="91"/>
      <c r="L9" s="91"/>
      <c r="M9" s="91"/>
      <c r="N9" s="92"/>
      <c r="O9" s="91"/>
      <c r="P9" s="91"/>
      <c r="Q9" s="91"/>
      <c r="R9" s="91"/>
      <c r="S9" s="91"/>
      <c r="T9" s="91"/>
    </row>
    <row r="10" spans="1:20" ht="37.9" customHeight="1" x14ac:dyDescent="0.25">
      <c r="A10" s="165" t="s">
        <v>332</v>
      </c>
      <c r="B10" s="166"/>
      <c r="C10" s="166"/>
      <c r="D10" s="166"/>
      <c r="E10" s="166"/>
      <c r="F10" s="166"/>
      <c r="G10" s="166"/>
      <c r="H10" s="166"/>
      <c r="I10" s="166"/>
      <c r="J10" s="94"/>
    </row>
    <row r="11" spans="1:20" ht="24.6" customHeight="1" x14ac:dyDescent="0.25">
      <c r="A11" s="153" t="s">
        <v>309</v>
      </c>
      <c r="B11" s="167"/>
      <c r="C11" s="159" t="s">
        <v>449</v>
      </c>
      <c r="D11" s="160"/>
      <c r="E11" s="95"/>
      <c r="F11" s="126" t="s">
        <v>333</v>
      </c>
      <c r="G11" s="163"/>
      <c r="H11" s="142" t="s">
        <v>450</v>
      </c>
      <c r="I11" s="143"/>
      <c r="J11" s="96"/>
    </row>
    <row r="12" spans="1:20" ht="14.45" customHeight="1" x14ac:dyDescent="0.25">
      <c r="A12" s="97"/>
      <c r="B12" s="76"/>
      <c r="C12" s="76"/>
      <c r="D12" s="76"/>
      <c r="E12" s="168"/>
      <c r="F12" s="168"/>
      <c r="G12" s="168"/>
      <c r="H12" s="168"/>
      <c r="I12" s="98"/>
      <c r="J12" s="96"/>
    </row>
    <row r="13" spans="1:20" ht="21" customHeight="1" x14ac:dyDescent="0.25">
      <c r="A13" s="125" t="s">
        <v>324</v>
      </c>
      <c r="B13" s="163"/>
      <c r="C13" s="159" t="s">
        <v>452</v>
      </c>
      <c r="D13" s="160"/>
      <c r="E13" s="181"/>
      <c r="F13" s="168"/>
      <c r="G13" s="168"/>
      <c r="H13" s="168"/>
      <c r="I13" s="98"/>
      <c r="J13" s="96"/>
    </row>
    <row r="14" spans="1:20" ht="10.9" customHeight="1" x14ac:dyDescent="0.25">
      <c r="A14" s="95"/>
      <c r="B14" s="98"/>
      <c r="C14" s="76"/>
      <c r="D14" s="76"/>
      <c r="E14" s="132"/>
      <c r="F14" s="132"/>
      <c r="G14" s="132"/>
      <c r="H14" s="132"/>
      <c r="I14" s="76"/>
      <c r="J14" s="99"/>
    </row>
    <row r="15" spans="1:20" ht="22.9" customHeight="1" x14ac:dyDescent="0.25">
      <c r="A15" s="125" t="s">
        <v>310</v>
      </c>
      <c r="B15" s="163"/>
      <c r="C15" s="159" t="s">
        <v>453</v>
      </c>
      <c r="D15" s="160"/>
      <c r="E15" s="164"/>
      <c r="F15" s="155"/>
      <c r="G15" s="100" t="s">
        <v>334</v>
      </c>
      <c r="H15" s="142" t="s">
        <v>451</v>
      </c>
      <c r="I15" s="143"/>
      <c r="J15" s="101"/>
    </row>
    <row r="16" spans="1:20" ht="10.9" customHeight="1" x14ac:dyDescent="0.25">
      <c r="A16" s="95"/>
      <c r="B16" s="98"/>
      <c r="C16" s="76"/>
      <c r="D16" s="76"/>
      <c r="E16" s="132"/>
      <c r="F16" s="132"/>
      <c r="G16" s="132"/>
      <c r="H16" s="132"/>
      <c r="I16" s="76"/>
      <c r="J16" s="99"/>
    </row>
    <row r="17" spans="1:10" ht="22.9" customHeight="1" x14ac:dyDescent="0.25">
      <c r="A17" s="102"/>
      <c r="B17" s="100" t="s">
        <v>335</v>
      </c>
      <c r="C17" s="159" t="s">
        <v>454</v>
      </c>
      <c r="D17" s="160"/>
      <c r="E17" s="103"/>
      <c r="F17" s="103"/>
      <c r="G17" s="103"/>
      <c r="H17" s="103"/>
      <c r="I17" s="103"/>
      <c r="J17" s="101"/>
    </row>
    <row r="18" spans="1:10" x14ac:dyDescent="0.25">
      <c r="A18" s="161"/>
      <c r="B18" s="162"/>
      <c r="C18" s="132"/>
      <c r="D18" s="132"/>
      <c r="E18" s="132"/>
      <c r="F18" s="132"/>
      <c r="G18" s="132"/>
      <c r="H18" s="132"/>
      <c r="I18" s="76"/>
      <c r="J18" s="99"/>
    </row>
    <row r="19" spans="1:10" x14ac:dyDescent="0.25">
      <c r="A19" s="153" t="s">
        <v>311</v>
      </c>
      <c r="B19" s="154"/>
      <c r="C19" s="133" t="s">
        <v>455</v>
      </c>
      <c r="D19" s="134"/>
      <c r="E19" s="134"/>
      <c r="F19" s="134"/>
      <c r="G19" s="134"/>
      <c r="H19" s="134"/>
      <c r="I19" s="134"/>
      <c r="J19" s="135"/>
    </row>
    <row r="20" spans="1:10" x14ac:dyDescent="0.25">
      <c r="A20" s="97"/>
      <c r="B20" s="76"/>
      <c r="C20" s="104"/>
      <c r="D20" s="76"/>
      <c r="E20" s="132"/>
      <c r="F20" s="132"/>
      <c r="G20" s="132"/>
      <c r="H20" s="132"/>
      <c r="I20" s="76"/>
      <c r="J20" s="99"/>
    </row>
    <row r="21" spans="1:10" x14ac:dyDescent="0.25">
      <c r="A21" s="153" t="s">
        <v>312</v>
      </c>
      <c r="B21" s="154"/>
      <c r="C21" s="142">
        <v>51221</v>
      </c>
      <c r="D21" s="143"/>
      <c r="E21" s="132"/>
      <c r="F21" s="132"/>
      <c r="G21" s="133" t="s">
        <v>462</v>
      </c>
      <c r="H21" s="134"/>
      <c r="I21" s="134"/>
      <c r="J21" s="135"/>
    </row>
    <row r="22" spans="1:10" x14ac:dyDescent="0.25">
      <c r="A22" s="97"/>
      <c r="B22" s="76"/>
      <c r="C22" s="76"/>
      <c r="D22" s="76"/>
      <c r="E22" s="132"/>
      <c r="F22" s="132"/>
      <c r="G22" s="132"/>
      <c r="H22" s="132"/>
      <c r="I22" s="76"/>
      <c r="J22" s="99"/>
    </row>
    <row r="23" spans="1:10" x14ac:dyDescent="0.25">
      <c r="A23" s="153" t="s">
        <v>313</v>
      </c>
      <c r="B23" s="154"/>
      <c r="C23" s="133" t="s">
        <v>461</v>
      </c>
      <c r="D23" s="134"/>
      <c r="E23" s="134"/>
      <c r="F23" s="134"/>
      <c r="G23" s="134"/>
      <c r="H23" s="134"/>
      <c r="I23" s="134"/>
      <c r="J23" s="135"/>
    </row>
    <row r="24" spans="1:10" x14ac:dyDescent="0.25">
      <c r="A24" s="97"/>
      <c r="B24" s="76"/>
      <c r="C24" s="76"/>
      <c r="D24" s="76"/>
      <c r="E24" s="132"/>
      <c r="F24" s="132"/>
      <c r="G24" s="132"/>
      <c r="H24" s="132"/>
      <c r="I24" s="76"/>
      <c r="J24" s="99"/>
    </row>
    <row r="25" spans="1:10" x14ac:dyDescent="0.25">
      <c r="A25" s="153" t="s">
        <v>314</v>
      </c>
      <c r="B25" s="154"/>
      <c r="C25" s="156" t="s">
        <v>456</v>
      </c>
      <c r="D25" s="157"/>
      <c r="E25" s="157"/>
      <c r="F25" s="157"/>
      <c r="G25" s="157"/>
      <c r="H25" s="157"/>
      <c r="I25" s="157"/>
      <c r="J25" s="158"/>
    </row>
    <row r="26" spans="1:10" x14ac:dyDescent="0.25">
      <c r="A26" s="97"/>
      <c r="B26" s="76"/>
      <c r="C26" s="104"/>
      <c r="D26" s="76"/>
      <c r="E26" s="132"/>
      <c r="F26" s="132"/>
      <c r="G26" s="132"/>
      <c r="H26" s="132"/>
      <c r="I26" s="76"/>
      <c r="J26" s="99"/>
    </row>
    <row r="27" spans="1:10" x14ac:dyDescent="0.25">
      <c r="A27" s="153" t="s">
        <v>315</v>
      </c>
      <c r="B27" s="154"/>
      <c r="C27" s="156" t="s">
        <v>457</v>
      </c>
      <c r="D27" s="157"/>
      <c r="E27" s="157"/>
      <c r="F27" s="157"/>
      <c r="G27" s="157"/>
      <c r="H27" s="157"/>
      <c r="I27" s="157"/>
      <c r="J27" s="158"/>
    </row>
    <row r="28" spans="1:10" ht="13.9" customHeight="1" x14ac:dyDescent="0.25">
      <c r="A28" s="97"/>
      <c r="B28" s="76"/>
      <c r="C28" s="104"/>
      <c r="D28" s="76"/>
      <c r="E28" s="132"/>
      <c r="F28" s="132"/>
      <c r="G28" s="132"/>
      <c r="H28" s="132"/>
      <c r="I28" s="76"/>
      <c r="J28" s="99"/>
    </row>
    <row r="29" spans="1:10" ht="22.9" customHeight="1" x14ac:dyDescent="0.25">
      <c r="A29" s="125" t="s">
        <v>325</v>
      </c>
      <c r="B29" s="154"/>
      <c r="C29" s="44">
        <f>301+61</f>
        <v>362</v>
      </c>
      <c r="D29" s="105"/>
      <c r="E29" s="136"/>
      <c r="F29" s="136"/>
      <c r="G29" s="136"/>
      <c r="H29" s="136"/>
      <c r="I29" s="106"/>
      <c r="J29" s="107"/>
    </row>
    <row r="30" spans="1:10" x14ac:dyDescent="0.25">
      <c r="A30" s="97"/>
      <c r="B30" s="76"/>
      <c r="C30" s="76"/>
      <c r="D30" s="76"/>
      <c r="E30" s="132"/>
      <c r="F30" s="132"/>
      <c r="G30" s="132"/>
      <c r="H30" s="132"/>
      <c r="I30" s="106"/>
      <c r="J30" s="107"/>
    </row>
    <row r="31" spans="1:10" x14ac:dyDescent="0.25">
      <c r="A31" s="153" t="s">
        <v>316</v>
      </c>
      <c r="B31" s="154"/>
      <c r="C31" s="45" t="s">
        <v>338</v>
      </c>
      <c r="D31" s="152" t="s">
        <v>336</v>
      </c>
      <c r="E31" s="140"/>
      <c r="F31" s="140"/>
      <c r="G31" s="140"/>
      <c r="H31" s="76"/>
      <c r="I31" s="108" t="s">
        <v>337</v>
      </c>
      <c r="J31" s="109" t="s">
        <v>338</v>
      </c>
    </row>
    <row r="32" spans="1:10" x14ac:dyDescent="0.25">
      <c r="A32" s="153"/>
      <c r="B32" s="154"/>
      <c r="C32" s="110"/>
      <c r="D32" s="85"/>
      <c r="E32" s="155"/>
      <c r="F32" s="155"/>
      <c r="G32" s="155"/>
      <c r="H32" s="155"/>
      <c r="I32" s="106"/>
      <c r="J32" s="107"/>
    </row>
    <row r="33" spans="1:10" x14ac:dyDescent="0.25">
      <c r="A33" s="153" t="s">
        <v>326</v>
      </c>
      <c r="B33" s="154"/>
      <c r="C33" s="44" t="s">
        <v>340</v>
      </c>
      <c r="D33" s="152" t="s">
        <v>339</v>
      </c>
      <c r="E33" s="140"/>
      <c r="F33" s="140"/>
      <c r="G33" s="140"/>
      <c r="H33" s="103"/>
      <c r="I33" s="108" t="s">
        <v>340</v>
      </c>
      <c r="J33" s="109" t="s">
        <v>341</v>
      </c>
    </row>
    <row r="34" spans="1:10" x14ac:dyDescent="0.25">
      <c r="A34" s="97"/>
      <c r="B34" s="76"/>
      <c r="C34" s="76"/>
      <c r="D34" s="76"/>
      <c r="E34" s="132"/>
      <c r="F34" s="132"/>
      <c r="G34" s="132"/>
      <c r="H34" s="132"/>
      <c r="I34" s="76"/>
      <c r="J34" s="99"/>
    </row>
    <row r="35" spans="1:10" x14ac:dyDescent="0.25">
      <c r="A35" s="152" t="s">
        <v>327</v>
      </c>
      <c r="B35" s="140"/>
      <c r="C35" s="140"/>
      <c r="D35" s="140"/>
      <c r="E35" s="140" t="s">
        <v>317</v>
      </c>
      <c r="F35" s="140"/>
      <c r="G35" s="140"/>
      <c r="H35" s="140"/>
      <c r="I35" s="140"/>
      <c r="J35" s="111" t="s">
        <v>318</v>
      </c>
    </row>
    <row r="36" spans="1:10" x14ac:dyDescent="0.25">
      <c r="A36" s="97"/>
      <c r="B36" s="76"/>
      <c r="C36" s="76"/>
      <c r="D36" s="76"/>
      <c r="E36" s="132"/>
      <c r="F36" s="132"/>
      <c r="G36" s="132"/>
      <c r="H36" s="132"/>
      <c r="I36" s="76"/>
      <c r="J36" s="107"/>
    </row>
    <row r="37" spans="1:10" x14ac:dyDescent="0.25">
      <c r="A37" s="148" t="s">
        <v>463</v>
      </c>
      <c r="B37" s="149"/>
      <c r="C37" s="149"/>
      <c r="D37" s="149"/>
      <c r="E37" s="148" t="s">
        <v>464</v>
      </c>
      <c r="F37" s="149"/>
      <c r="G37" s="149"/>
      <c r="H37" s="149"/>
      <c r="I37" s="150"/>
      <c r="J37" s="124" t="s">
        <v>465</v>
      </c>
    </row>
    <row r="38" spans="1:10" x14ac:dyDescent="0.25">
      <c r="A38" s="97"/>
      <c r="B38" s="76"/>
      <c r="C38" s="104"/>
      <c r="D38" s="151"/>
      <c r="E38" s="151"/>
      <c r="F38" s="151"/>
      <c r="G38" s="151"/>
      <c r="H38" s="151"/>
      <c r="I38" s="151"/>
      <c r="J38" s="99"/>
    </row>
    <row r="39" spans="1:10" x14ac:dyDescent="0.25">
      <c r="A39" s="148"/>
      <c r="B39" s="149"/>
      <c r="C39" s="149"/>
      <c r="D39" s="150"/>
      <c r="E39" s="148"/>
      <c r="F39" s="149"/>
      <c r="G39" s="149"/>
      <c r="H39" s="149"/>
      <c r="I39" s="150"/>
      <c r="J39" s="44"/>
    </row>
    <row r="40" spans="1:10" x14ac:dyDescent="0.25">
      <c r="A40" s="97"/>
      <c r="B40" s="76"/>
      <c r="C40" s="104"/>
      <c r="D40" s="112"/>
      <c r="E40" s="151"/>
      <c r="F40" s="151"/>
      <c r="G40" s="151"/>
      <c r="H40" s="151"/>
      <c r="I40" s="98"/>
      <c r="J40" s="99"/>
    </row>
    <row r="41" spans="1:10" x14ac:dyDescent="0.25">
      <c r="A41" s="148"/>
      <c r="B41" s="149"/>
      <c r="C41" s="149"/>
      <c r="D41" s="150"/>
      <c r="E41" s="148"/>
      <c r="F41" s="149"/>
      <c r="G41" s="149"/>
      <c r="H41" s="149"/>
      <c r="I41" s="150"/>
      <c r="J41" s="44"/>
    </row>
    <row r="42" spans="1:10" x14ac:dyDescent="0.25">
      <c r="A42" s="97"/>
      <c r="B42" s="76"/>
      <c r="C42" s="104"/>
      <c r="D42" s="112"/>
      <c r="E42" s="151"/>
      <c r="F42" s="151"/>
      <c r="G42" s="151"/>
      <c r="H42" s="151"/>
      <c r="I42" s="98"/>
      <c r="J42" s="99"/>
    </row>
    <row r="43" spans="1:10" x14ac:dyDescent="0.25">
      <c r="A43" s="148"/>
      <c r="B43" s="149"/>
      <c r="C43" s="149"/>
      <c r="D43" s="150"/>
      <c r="E43" s="148"/>
      <c r="F43" s="149"/>
      <c r="G43" s="149"/>
      <c r="H43" s="149"/>
      <c r="I43" s="150"/>
      <c r="J43" s="44"/>
    </row>
    <row r="44" spans="1:10" x14ac:dyDescent="0.25">
      <c r="A44" s="113"/>
      <c r="B44" s="104"/>
      <c r="C44" s="146"/>
      <c r="D44" s="146"/>
      <c r="E44" s="132"/>
      <c r="F44" s="132"/>
      <c r="G44" s="146"/>
      <c r="H44" s="146"/>
      <c r="I44" s="146"/>
      <c r="J44" s="99"/>
    </row>
    <row r="45" spans="1:10" x14ac:dyDescent="0.25">
      <c r="A45" s="148"/>
      <c r="B45" s="149"/>
      <c r="C45" s="149"/>
      <c r="D45" s="150"/>
      <c r="E45" s="148"/>
      <c r="F45" s="149"/>
      <c r="G45" s="149"/>
      <c r="H45" s="149"/>
      <c r="I45" s="150"/>
      <c r="J45" s="44"/>
    </row>
    <row r="46" spans="1:10" x14ac:dyDescent="0.25">
      <c r="A46" s="113"/>
      <c r="B46" s="104"/>
      <c r="C46" s="104"/>
      <c r="D46" s="76"/>
      <c r="E46" s="132"/>
      <c r="F46" s="132"/>
      <c r="G46" s="146"/>
      <c r="H46" s="146"/>
      <c r="I46" s="76"/>
      <c r="J46" s="99"/>
    </row>
    <row r="47" spans="1:10" x14ac:dyDescent="0.25">
      <c r="A47" s="148"/>
      <c r="B47" s="149"/>
      <c r="C47" s="149"/>
      <c r="D47" s="150"/>
      <c r="E47" s="148"/>
      <c r="F47" s="149"/>
      <c r="G47" s="149"/>
      <c r="H47" s="149"/>
      <c r="I47" s="150"/>
      <c r="J47" s="44"/>
    </row>
    <row r="48" spans="1:10" x14ac:dyDescent="0.25">
      <c r="A48" s="113"/>
      <c r="B48" s="104"/>
      <c r="C48" s="104"/>
      <c r="D48" s="76"/>
      <c r="E48" s="132"/>
      <c r="F48" s="132"/>
      <c r="G48" s="146"/>
      <c r="H48" s="146"/>
      <c r="I48" s="76"/>
      <c r="J48" s="114" t="s">
        <v>342</v>
      </c>
    </row>
    <row r="49" spans="1:10" x14ac:dyDescent="0.25">
      <c r="A49" s="113"/>
      <c r="B49" s="104"/>
      <c r="C49" s="104"/>
      <c r="D49" s="76"/>
      <c r="E49" s="132"/>
      <c r="F49" s="132"/>
      <c r="G49" s="146"/>
      <c r="H49" s="146"/>
      <c r="I49" s="76"/>
      <c r="J49" s="114" t="s">
        <v>343</v>
      </c>
    </row>
    <row r="50" spans="1:10" ht="14.45" customHeight="1" x14ac:dyDescent="0.25">
      <c r="A50" s="125" t="s">
        <v>319</v>
      </c>
      <c r="B50" s="126"/>
      <c r="C50" s="142" t="s">
        <v>343</v>
      </c>
      <c r="D50" s="143"/>
      <c r="E50" s="144" t="s">
        <v>344</v>
      </c>
      <c r="F50" s="145"/>
      <c r="G50" s="133"/>
      <c r="H50" s="134"/>
      <c r="I50" s="134"/>
      <c r="J50" s="135"/>
    </row>
    <row r="51" spans="1:10" x14ac:dyDescent="0.25">
      <c r="A51" s="113"/>
      <c r="B51" s="104"/>
      <c r="C51" s="146"/>
      <c r="D51" s="146"/>
      <c r="E51" s="132"/>
      <c r="F51" s="132"/>
      <c r="G51" s="147" t="s">
        <v>345</v>
      </c>
      <c r="H51" s="147"/>
      <c r="I51" s="147"/>
      <c r="J51" s="90"/>
    </row>
    <row r="52" spans="1:10" ht="13.9" customHeight="1" x14ac:dyDescent="0.25">
      <c r="A52" s="125" t="s">
        <v>320</v>
      </c>
      <c r="B52" s="126"/>
      <c r="C52" s="133" t="s">
        <v>458</v>
      </c>
      <c r="D52" s="134"/>
      <c r="E52" s="134"/>
      <c r="F52" s="134"/>
      <c r="G52" s="134"/>
      <c r="H52" s="134"/>
      <c r="I52" s="134"/>
      <c r="J52" s="135"/>
    </row>
    <row r="53" spans="1:10" x14ac:dyDescent="0.25">
      <c r="A53" s="97"/>
      <c r="B53" s="76"/>
      <c r="C53" s="136" t="s">
        <v>321</v>
      </c>
      <c r="D53" s="136"/>
      <c r="E53" s="136"/>
      <c r="F53" s="136"/>
      <c r="G53" s="136"/>
      <c r="H53" s="136"/>
      <c r="I53" s="136"/>
      <c r="J53" s="99"/>
    </row>
    <row r="54" spans="1:10" x14ac:dyDescent="0.25">
      <c r="A54" s="125" t="s">
        <v>322</v>
      </c>
      <c r="B54" s="126"/>
      <c r="C54" s="137" t="s">
        <v>459</v>
      </c>
      <c r="D54" s="138"/>
      <c r="E54" s="139"/>
      <c r="F54" s="132"/>
      <c r="G54" s="132"/>
      <c r="H54" s="140"/>
      <c r="I54" s="140"/>
      <c r="J54" s="141"/>
    </row>
    <row r="55" spans="1:10" x14ac:dyDescent="0.25">
      <c r="A55" s="97"/>
      <c r="B55" s="76"/>
      <c r="C55" s="104"/>
      <c r="D55" s="76"/>
      <c r="E55" s="132"/>
      <c r="F55" s="132"/>
      <c r="G55" s="132"/>
      <c r="H55" s="132"/>
      <c r="I55" s="76"/>
      <c r="J55" s="99"/>
    </row>
    <row r="56" spans="1:10" ht="14.45" customHeight="1" x14ac:dyDescent="0.25">
      <c r="A56" s="125" t="s">
        <v>314</v>
      </c>
      <c r="B56" s="126"/>
      <c r="C56" s="127" t="s">
        <v>460</v>
      </c>
      <c r="D56" s="128"/>
      <c r="E56" s="128"/>
      <c r="F56" s="128"/>
      <c r="G56" s="128"/>
      <c r="H56" s="128"/>
      <c r="I56" s="128"/>
      <c r="J56" s="129"/>
    </row>
    <row r="57" spans="1:10" x14ac:dyDescent="0.25">
      <c r="A57" s="97"/>
      <c r="B57" s="76"/>
      <c r="C57" s="76"/>
      <c r="D57" s="76"/>
      <c r="E57" s="132"/>
      <c r="F57" s="132"/>
      <c r="G57" s="132"/>
      <c r="H57" s="132"/>
      <c r="I57" s="76"/>
      <c r="J57" s="99"/>
    </row>
    <row r="58" spans="1:10" x14ac:dyDescent="0.25">
      <c r="A58" s="125" t="s">
        <v>346</v>
      </c>
      <c r="B58" s="126"/>
      <c r="C58" s="127"/>
      <c r="D58" s="128"/>
      <c r="E58" s="128"/>
      <c r="F58" s="128"/>
      <c r="G58" s="128"/>
      <c r="H58" s="128"/>
      <c r="I58" s="128"/>
      <c r="J58" s="129"/>
    </row>
    <row r="59" spans="1:10" ht="14.45" customHeight="1" x14ac:dyDescent="0.25">
      <c r="A59" s="97"/>
      <c r="B59" s="76"/>
      <c r="C59" s="130" t="s">
        <v>347</v>
      </c>
      <c r="D59" s="130"/>
      <c r="E59" s="130"/>
      <c r="F59" s="130"/>
      <c r="G59" s="76"/>
      <c r="H59" s="76"/>
      <c r="I59" s="76"/>
      <c r="J59" s="99"/>
    </row>
    <row r="60" spans="1:10" x14ac:dyDescent="0.25">
      <c r="A60" s="125" t="s">
        <v>348</v>
      </c>
      <c r="B60" s="126"/>
      <c r="C60" s="127"/>
      <c r="D60" s="128"/>
      <c r="E60" s="128"/>
      <c r="F60" s="128"/>
      <c r="G60" s="128"/>
      <c r="H60" s="128"/>
      <c r="I60" s="128"/>
      <c r="J60" s="129"/>
    </row>
    <row r="61" spans="1:10" ht="14.45" customHeight="1" x14ac:dyDescent="0.25">
      <c r="A61" s="115"/>
      <c r="B61" s="116"/>
      <c r="C61" s="131" t="s">
        <v>349</v>
      </c>
      <c r="D61" s="131"/>
      <c r="E61" s="131"/>
      <c r="F61" s="131"/>
      <c r="G61" s="131"/>
      <c r="H61" s="116"/>
      <c r="I61" s="116"/>
      <c r="J61" s="117"/>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5" sqref="A5:F5"/>
    </sheetView>
  </sheetViews>
  <sheetFormatPr defaultColWidth="8.85546875" defaultRowHeight="12.75" x14ac:dyDescent="0.2"/>
  <cols>
    <col min="1" max="7" width="8.85546875" style="118"/>
    <col min="8" max="9" width="16.42578125" style="121" customWidth="1"/>
    <col min="10" max="10" width="10.28515625" style="118" bestFit="1" customWidth="1"/>
    <col min="11" max="16384" width="8.85546875" style="118"/>
  </cols>
  <sheetData>
    <row r="1" spans="1:9" x14ac:dyDescent="0.2">
      <c r="A1" s="189" t="s">
        <v>1</v>
      </c>
      <c r="B1" s="190"/>
      <c r="C1" s="190"/>
      <c r="D1" s="190"/>
      <c r="E1" s="190"/>
      <c r="F1" s="190"/>
      <c r="G1" s="190"/>
      <c r="H1" s="190"/>
      <c r="I1" s="190"/>
    </row>
    <row r="2" spans="1:9" x14ac:dyDescent="0.2">
      <c r="A2" s="191" t="s">
        <v>468</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466</v>
      </c>
      <c r="B4" s="195"/>
      <c r="C4" s="195"/>
      <c r="D4" s="195"/>
      <c r="E4" s="195"/>
      <c r="F4" s="195"/>
      <c r="G4" s="195"/>
      <c r="H4" s="195"/>
      <c r="I4" s="196"/>
    </row>
    <row r="5" spans="1:9" ht="45" x14ac:dyDescent="0.2">
      <c r="A5" s="199" t="s">
        <v>2</v>
      </c>
      <c r="B5" s="200"/>
      <c r="C5" s="200"/>
      <c r="D5" s="200"/>
      <c r="E5" s="200"/>
      <c r="F5" s="200"/>
      <c r="G5" s="123" t="s">
        <v>101</v>
      </c>
      <c r="H5" s="10" t="s">
        <v>296</v>
      </c>
      <c r="I5" s="10" t="s">
        <v>297</v>
      </c>
    </row>
    <row r="6" spans="1:9" x14ac:dyDescent="0.2">
      <c r="A6" s="197">
        <v>1</v>
      </c>
      <c r="B6" s="198"/>
      <c r="C6" s="198"/>
      <c r="D6" s="198"/>
      <c r="E6" s="198"/>
      <c r="F6" s="198"/>
      <c r="G6" s="122">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19">
        <f>H10+H17+H27+H38+H43</f>
        <v>36182415</v>
      </c>
      <c r="I9" s="119">
        <f>I10+I17+I27+I38+I43</f>
        <v>47316931</v>
      </c>
    </row>
    <row r="10" spans="1:9" ht="12.75" customHeight="1" x14ac:dyDescent="0.2">
      <c r="A10" s="186" t="s">
        <v>5</v>
      </c>
      <c r="B10" s="186"/>
      <c r="C10" s="186"/>
      <c r="D10" s="186"/>
      <c r="E10" s="186"/>
      <c r="F10" s="186"/>
      <c r="G10" s="12">
        <v>3</v>
      </c>
      <c r="H10" s="119">
        <f>H11+H12+H13+H14+H15+H16</f>
        <v>476730</v>
      </c>
      <c r="I10" s="119">
        <f>I11+I12+I13+I14+I15+I16</f>
        <v>441806</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476730</v>
      </c>
      <c r="I12" s="18">
        <v>441806</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0</v>
      </c>
      <c r="I16" s="18">
        <v>0</v>
      </c>
    </row>
    <row r="17" spans="1:9" ht="12.75" customHeight="1" x14ac:dyDescent="0.2">
      <c r="A17" s="186" t="s">
        <v>12</v>
      </c>
      <c r="B17" s="186"/>
      <c r="C17" s="186"/>
      <c r="D17" s="186"/>
      <c r="E17" s="186"/>
      <c r="F17" s="186"/>
      <c r="G17" s="12">
        <v>10</v>
      </c>
      <c r="H17" s="119">
        <f>H18+H19+H20+H21+H22+H23+H24+H25+H26</f>
        <v>35654266</v>
      </c>
      <c r="I17" s="119">
        <f>I18+I19+I20+I21+I22+I23+I24+I25+I26</f>
        <v>46828157</v>
      </c>
    </row>
    <row r="18" spans="1:9" ht="12.75" customHeight="1" x14ac:dyDescent="0.2">
      <c r="A18" s="182" t="s">
        <v>13</v>
      </c>
      <c r="B18" s="182"/>
      <c r="C18" s="182"/>
      <c r="D18" s="182"/>
      <c r="E18" s="182"/>
      <c r="F18" s="182"/>
      <c r="G18" s="11">
        <v>11</v>
      </c>
      <c r="H18" s="18">
        <v>736039</v>
      </c>
      <c r="I18" s="18">
        <v>736039</v>
      </c>
    </row>
    <row r="19" spans="1:9" ht="12.75" customHeight="1" x14ac:dyDescent="0.2">
      <c r="A19" s="182" t="s">
        <v>14</v>
      </c>
      <c r="B19" s="182"/>
      <c r="C19" s="182"/>
      <c r="D19" s="182"/>
      <c r="E19" s="182"/>
      <c r="F19" s="182"/>
      <c r="G19" s="11">
        <v>12</v>
      </c>
      <c r="H19" s="18">
        <v>179786</v>
      </c>
      <c r="I19" s="18">
        <v>161237</v>
      </c>
    </row>
    <row r="20" spans="1:9" ht="12.75" customHeight="1" x14ac:dyDescent="0.2">
      <c r="A20" s="182" t="s">
        <v>15</v>
      </c>
      <c r="B20" s="182"/>
      <c r="C20" s="182"/>
      <c r="D20" s="182"/>
      <c r="E20" s="182"/>
      <c r="F20" s="182"/>
      <c r="G20" s="11">
        <v>13</v>
      </c>
      <c r="H20" s="18">
        <v>19036821</v>
      </c>
      <c r="I20" s="18">
        <v>33681793</v>
      </c>
    </row>
    <row r="21" spans="1:9" ht="12.75" customHeight="1" x14ac:dyDescent="0.2">
      <c r="A21" s="182" t="s">
        <v>16</v>
      </c>
      <c r="B21" s="182"/>
      <c r="C21" s="182"/>
      <c r="D21" s="182"/>
      <c r="E21" s="182"/>
      <c r="F21" s="182"/>
      <c r="G21" s="11">
        <v>14</v>
      </c>
      <c r="H21" s="18">
        <v>470567</v>
      </c>
      <c r="I21" s="18">
        <v>401369</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267634</v>
      </c>
      <c r="I23" s="18">
        <v>0</v>
      </c>
    </row>
    <row r="24" spans="1:9" ht="12.75" customHeight="1" x14ac:dyDescent="0.2">
      <c r="A24" s="182" t="s">
        <v>19</v>
      </c>
      <c r="B24" s="182"/>
      <c r="C24" s="182"/>
      <c r="D24" s="182"/>
      <c r="E24" s="182"/>
      <c r="F24" s="182"/>
      <c r="G24" s="11">
        <v>17</v>
      </c>
      <c r="H24" s="18">
        <v>14697013</v>
      </c>
      <c r="I24" s="18">
        <v>11581313</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266406</v>
      </c>
      <c r="I26" s="18">
        <v>266406</v>
      </c>
    </row>
    <row r="27" spans="1:9" ht="12.75" customHeight="1" x14ac:dyDescent="0.2">
      <c r="A27" s="186" t="s">
        <v>22</v>
      </c>
      <c r="B27" s="186"/>
      <c r="C27" s="186"/>
      <c r="D27" s="186"/>
      <c r="E27" s="186"/>
      <c r="F27" s="186"/>
      <c r="G27" s="12">
        <v>20</v>
      </c>
      <c r="H27" s="119">
        <f>SUM(H28:H37)</f>
        <v>36944</v>
      </c>
      <c r="I27" s="119">
        <f>SUM(I28:I37)</f>
        <v>32493</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17558</v>
      </c>
      <c r="I34" s="18">
        <v>19493</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19386</v>
      </c>
      <c r="I37" s="18">
        <v>13000</v>
      </c>
    </row>
    <row r="38" spans="1:9" ht="12.75" customHeight="1" x14ac:dyDescent="0.2">
      <c r="A38" s="186" t="s">
        <v>33</v>
      </c>
      <c r="B38" s="186"/>
      <c r="C38" s="186"/>
      <c r="D38" s="186"/>
      <c r="E38" s="186"/>
      <c r="F38" s="186"/>
      <c r="G38" s="12">
        <v>31</v>
      </c>
      <c r="H38" s="119">
        <f>H39+H40+H41+H42</f>
        <v>0</v>
      </c>
      <c r="I38" s="119">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14475</v>
      </c>
      <c r="I43" s="18">
        <v>14475</v>
      </c>
    </row>
    <row r="44" spans="1:9" ht="12.75" customHeight="1" x14ac:dyDescent="0.2">
      <c r="A44" s="184" t="s">
        <v>303</v>
      </c>
      <c r="B44" s="184"/>
      <c r="C44" s="184"/>
      <c r="D44" s="184"/>
      <c r="E44" s="184"/>
      <c r="F44" s="184"/>
      <c r="G44" s="12">
        <v>37</v>
      </c>
      <c r="H44" s="119">
        <f>H45+H53+H60+H70</f>
        <v>31050500</v>
      </c>
      <c r="I44" s="119">
        <f>I45+I53+I60+I70</f>
        <v>28543999</v>
      </c>
    </row>
    <row r="45" spans="1:9" ht="12.75" customHeight="1" x14ac:dyDescent="0.2">
      <c r="A45" s="186" t="s">
        <v>39</v>
      </c>
      <c r="B45" s="186"/>
      <c r="C45" s="186"/>
      <c r="D45" s="186"/>
      <c r="E45" s="186"/>
      <c r="F45" s="186"/>
      <c r="G45" s="12">
        <v>38</v>
      </c>
      <c r="H45" s="119">
        <f>SUM(H46:H52)</f>
        <v>6419312</v>
      </c>
      <c r="I45" s="119">
        <f>SUM(I46:I52)</f>
        <v>4697906</v>
      </c>
    </row>
    <row r="46" spans="1:9" ht="12.75" customHeight="1" x14ac:dyDescent="0.2">
      <c r="A46" s="182" t="s">
        <v>40</v>
      </c>
      <c r="B46" s="182"/>
      <c r="C46" s="182"/>
      <c r="D46" s="182"/>
      <c r="E46" s="182"/>
      <c r="F46" s="182"/>
      <c r="G46" s="11">
        <v>39</v>
      </c>
      <c r="H46" s="18">
        <v>6419312</v>
      </c>
      <c r="I46" s="18">
        <v>4697906</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19">
        <f>SUM(H54:H59)</f>
        <v>11234669</v>
      </c>
      <c r="I53" s="119">
        <f>SUM(I54:I59)</f>
        <v>12845172</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f>3934911+180675</f>
        <v>4115586</v>
      </c>
      <c r="I56" s="18">
        <v>5542182</v>
      </c>
    </row>
    <row r="57" spans="1:9" ht="12.75" customHeight="1" x14ac:dyDescent="0.2">
      <c r="A57" s="182" t="s">
        <v>51</v>
      </c>
      <c r="B57" s="182"/>
      <c r="C57" s="182"/>
      <c r="D57" s="182"/>
      <c r="E57" s="182"/>
      <c r="F57" s="182"/>
      <c r="G57" s="11">
        <v>50</v>
      </c>
      <c r="H57" s="18">
        <v>95728</v>
      </c>
      <c r="I57" s="18">
        <v>94332</v>
      </c>
    </row>
    <row r="58" spans="1:9" ht="12.75" customHeight="1" x14ac:dyDescent="0.2">
      <c r="A58" s="182" t="s">
        <v>52</v>
      </c>
      <c r="B58" s="182"/>
      <c r="C58" s="182"/>
      <c r="D58" s="182"/>
      <c r="E58" s="182"/>
      <c r="F58" s="182"/>
      <c r="G58" s="11">
        <v>51</v>
      </c>
      <c r="H58" s="18">
        <v>2192279</v>
      </c>
      <c r="I58" s="18">
        <v>1055078</v>
      </c>
    </row>
    <row r="59" spans="1:9" ht="12.75" customHeight="1" x14ac:dyDescent="0.2">
      <c r="A59" s="182" t="s">
        <v>53</v>
      </c>
      <c r="B59" s="182"/>
      <c r="C59" s="182"/>
      <c r="D59" s="182"/>
      <c r="E59" s="182"/>
      <c r="F59" s="182"/>
      <c r="G59" s="11">
        <v>52</v>
      </c>
      <c r="H59" s="18">
        <v>4831076</v>
      </c>
      <c r="I59" s="18">
        <v>6153580</v>
      </c>
    </row>
    <row r="60" spans="1:9" ht="12.75" customHeight="1" x14ac:dyDescent="0.2">
      <c r="A60" s="186" t="s">
        <v>54</v>
      </c>
      <c r="B60" s="186"/>
      <c r="C60" s="186"/>
      <c r="D60" s="186"/>
      <c r="E60" s="186"/>
      <c r="F60" s="186"/>
      <c r="G60" s="12">
        <v>53</v>
      </c>
      <c r="H60" s="119">
        <f>SUM(H61:H69)</f>
        <v>43400</v>
      </c>
      <c r="I60" s="119">
        <f>SUM(I61:I69)</f>
        <v>0</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43400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13353119</v>
      </c>
      <c r="I70" s="18">
        <v>11000921</v>
      </c>
    </row>
    <row r="71" spans="1:9" ht="12.75" customHeight="1" x14ac:dyDescent="0.2">
      <c r="A71" s="183" t="s">
        <v>58</v>
      </c>
      <c r="B71" s="183"/>
      <c r="C71" s="183"/>
      <c r="D71" s="183"/>
      <c r="E71" s="183"/>
      <c r="F71" s="183"/>
      <c r="G71" s="11">
        <v>64</v>
      </c>
      <c r="H71" s="18">
        <v>3950949</v>
      </c>
      <c r="I71" s="18">
        <v>2672828</v>
      </c>
    </row>
    <row r="72" spans="1:9" ht="12.75" customHeight="1" x14ac:dyDescent="0.2">
      <c r="A72" s="184" t="s">
        <v>304</v>
      </c>
      <c r="B72" s="184"/>
      <c r="C72" s="184"/>
      <c r="D72" s="184"/>
      <c r="E72" s="184"/>
      <c r="F72" s="184"/>
      <c r="G72" s="12">
        <v>65</v>
      </c>
      <c r="H72" s="119">
        <f>H8+H9+H44+H71</f>
        <v>71183864</v>
      </c>
      <c r="I72" s="119">
        <f>I8+I9+I44+I71</f>
        <v>78533758</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0">
        <f>H76+H77+H78+H84+H85+H91+H94+H97</f>
        <v>50008692</v>
      </c>
      <c r="I75" s="120">
        <f>I76+I77+I78+I84+I85+I91+I94+I97</f>
        <v>55487307</v>
      </c>
    </row>
    <row r="76" spans="1:9" ht="12.75" customHeight="1" x14ac:dyDescent="0.2">
      <c r="A76" s="182" t="s">
        <v>61</v>
      </c>
      <c r="B76" s="182"/>
      <c r="C76" s="182"/>
      <c r="D76" s="182"/>
      <c r="E76" s="182"/>
      <c r="F76" s="182"/>
      <c r="G76" s="11">
        <v>68</v>
      </c>
      <c r="H76" s="18">
        <v>22315014</v>
      </c>
      <c r="I76" s="18">
        <v>22315014</v>
      </c>
    </row>
    <row r="77" spans="1:9" ht="12.75" customHeight="1" x14ac:dyDescent="0.2">
      <c r="A77" s="182" t="s">
        <v>62</v>
      </c>
      <c r="B77" s="182"/>
      <c r="C77" s="182"/>
      <c r="D77" s="182"/>
      <c r="E77" s="182"/>
      <c r="F77" s="182"/>
      <c r="G77" s="11">
        <v>69</v>
      </c>
      <c r="H77" s="18">
        <v>0</v>
      </c>
      <c r="I77" s="18">
        <v>0</v>
      </c>
    </row>
    <row r="78" spans="1:9" ht="12.75" customHeight="1" x14ac:dyDescent="0.2">
      <c r="A78" s="186" t="s">
        <v>63</v>
      </c>
      <c r="B78" s="186"/>
      <c r="C78" s="186"/>
      <c r="D78" s="186"/>
      <c r="E78" s="186"/>
      <c r="F78" s="186"/>
      <c r="G78" s="12">
        <v>70</v>
      </c>
      <c r="H78" s="120">
        <f>SUM(H79:H83)</f>
        <v>22934462</v>
      </c>
      <c r="I78" s="120">
        <f>SUM(I79:I83)</f>
        <v>27659531</v>
      </c>
    </row>
    <row r="79" spans="1:9" ht="12.75" customHeight="1" x14ac:dyDescent="0.2">
      <c r="A79" s="182" t="s">
        <v>64</v>
      </c>
      <c r="B79" s="182"/>
      <c r="C79" s="182"/>
      <c r="D79" s="182"/>
      <c r="E79" s="182"/>
      <c r="F79" s="182"/>
      <c r="G79" s="11">
        <v>71</v>
      </c>
      <c r="H79" s="18">
        <v>1115751</v>
      </c>
      <c r="I79" s="18">
        <v>1115751</v>
      </c>
    </row>
    <row r="80" spans="1:9" ht="12.75" customHeight="1" x14ac:dyDescent="0.2">
      <c r="A80" s="182" t="s">
        <v>65</v>
      </c>
      <c r="B80" s="182"/>
      <c r="C80" s="182"/>
      <c r="D80" s="182"/>
      <c r="E80" s="182"/>
      <c r="F80" s="182"/>
      <c r="G80" s="11">
        <v>72</v>
      </c>
      <c r="H80" s="18">
        <v>1664344</v>
      </c>
      <c r="I80" s="18">
        <v>1664344</v>
      </c>
    </row>
    <row r="81" spans="1:9" ht="12.75" customHeight="1" x14ac:dyDescent="0.2">
      <c r="A81" s="182" t="s">
        <v>66</v>
      </c>
      <c r="B81" s="182"/>
      <c r="C81" s="182"/>
      <c r="D81" s="182"/>
      <c r="E81" s="182"/>
      <c r="F81" s="182"/>
      <c r="G81" s="11">
        <v>73</v>
      </c>
      <c r="H81" s="18">
        <v>-1069185</v>
      </c>
      <c r="I81" s="18">
        <v>-1069185</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21223552</v>
      </c>
      <c r="I83" s="18">
        <v>25948621</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19">
        <f>H86+H87+H88+H89+H90</f>
        <v>0</v>
      </c>
      <c r="I85" s="119">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19">
        <f>H92-H93</f>
        <v>0</v>
      </c>
      <c r="I91" s="119">
        <f>I92-I93</f>
        <v>0</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19">
        <f>H95-H96</f>
        <v>4729248</v>
      </c>
      <c r="I94" s="119">
        <f>I95-I96</f>
        <v>5479528</v>
      </c>
    </row>
    <row r="95" spans="1:9" ht="12.75" customHeight="1" x14ac:dyDescent="0.2">
      <c r="A95" s="182" t="s">
        <v>74</v>
      </c>
      <c r="B95" s="182"/>
      <c r="C95" s="182"/>
      <c r="D95" s="182"/>
      <c r="E95" s="182"/>
      <c r="F95" s="182"/>
      <c r="G95" s="11">
        <v>87</v>
      </c>
      <c r="H95" s="18">
        <v>4729248</v>
      </c>
      <c r="I95" s="18">
        <v>5479528</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29968</v>
      </c>
      <c r="I97" s="18">
        <v>33234</v>
      </c>
    </row>
    <row r="98" spans="1:9" ht="12.75" customHeight="1" x14ac:dyDescent="0.2">
      <c r="A98" s="184" t="s">
        <v>355</v>
      </c>
      <c r="B98" s="184"/>
      <c r="C98" s="184"/>
      <c r="D98" s="184"/>
      <c r="E98" s="184"/>
      <c r="F98" s="184"/>
      <c r="G98" s="12">
        <v>90</v>
      </c>
      <c r="H98" s="119">
        <f>SUM(H99:H104)</f>
        <v>2253238</v>
      </c>
      <c r="I98" s="119">
        <f>SUM(I99:I104)</f>
        <v>2056767</v>
      </c>
    </row>
    <row r="99" spans="1:9" ht="12.75" customHeight="1" x14ac:dyDescent="0.2">
      <c r="A99" s="182" t="s">
        <v>77</v>
      </c>
      <c r="B99" s="182"/>
      <c r="C99" s="182"/>
      <c r="D99" s="182"/>
      <c r="E99" s="182"/>
      <c r="F99" s="182"/>
      <c r="G99" s="11">
        <v>91</v>
      </c>
      <c r="H99" s="18">
        <v>343991</v>
      </c>
      <c r="I99" s="18">
        <v>366076</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1909247</v>
      </c>
      <c r="I101" s="18">
        <v>1690691</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19">
        <f>SUM(H106:H116)</f>
        <v>837446</v>
      </c>
      <c r="I105" s="119">
        <f>SUM(I106:I116)</f>
        <v>720296</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1305</v>
      </c>
      <c r="I110" s="18">
        <v>1305</v>
      </c>
    </row>
    <row r="111" spans="1:9" ht="12.75" customHeight="1" x14ac:dyDescent="0.2">
      <c r="A111" s="182" t="s">
        <v>88</v>
      </c>
      <c r="B111" s="182"/>
      <c r="C111" s="182"/>
      <c r="D111" s="182"/>
      <c r="E111" s="182"/>
      <c r="F111" s="182"/>
      <c r="G111" s="11">
        <v>103</v>
      </c>
      <c r="H111" s="18">
        <v>281547</v>
      </c>
      <c r="I111" s="18">
        <v>164049</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552322</v>
      </c>
      <c r="I115" s="18">
        <v>552322</v>
      </c>
    </row>
    <row r="116" spans="1:9" ht="12.75" customHeight="1" x14ac:dyDescent="0.2">
      <c r="A116" s="182" t="s">
        <v>93</v>
      </c>
      <c r="B116" s="182"/>
      <c r="C116" s="182"/>
      <c r="D116" s="182"/>
      <c r="E116" s="182"/>
      <c r="F116" s="182"/>
      <c r="G116" s="11">
        <v>108</v>
      </c>
      <c r="H116" s="18">
        <v>2272</v>
      </c>
      <c r="I116" s="18">
        <v>2620</v>
      </c>
    </row>
    <row r="117" spans="1:9" ht="12.75" customHeight="1" x14ac:dyDescent="0.2">
      <c r="A117" s="184" t="s">
        <v>357</v>
      </c>
      <c r="B117" s="184"/>
      <c r="C117" s="184"/>
      <c r="D117" s="184"/>
      <c r="E117" s="184"/>
      <c r="F117" s="184"/>
      <c r="G117" s="12">
        <v>109</v>
      </c>
      <c r="H117" s="119">
        <f>SUM(H118:H131)</f>
        <v>11076879</v>
      </c>
      <c r="I117" s="119">
        <f>SUM(I118:I131)</f>
        <v>11455031</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228006</v>
      </c>
      <c r="I123" s="18">
        <v>1189746</v>
      </c>
    </row>
    <row r="124" spans="1:9" ht="12.75" customHeight="1" x14ac:dyDescent="0.2">
      <c r="A124" s="182" t="s">
        <v>89</v>
      </c>
      <c r="B124" s="182"/>
      <c r="C124" s="182"/>
      <c r="D124" s="182"/>
      <c r="E124" s="182"/>
      <c r="F124" s="182"/>
      <c r="G124" s="11">
        <v>116</v>
      </c>
      <c r="H124" s="18">
        <v>0</v>
      </c>
      <c r="I124" s="18">
        <v>436946</v>
      </c>
    </row>
    <row r="125" spans="1:9" ht="12.75" customHeight="1" x14ac:dyDescent="0.2">
      <c r="A125" s="182" t="s">
        <v>90</v>
      </c>
      <c r="B125" s="182"/>
      <c r="C125" s="182"/>
      <c r="D125" s="182"/>
      <c r="E125" s="182"/>
      <c r="F125" s="182"/>
      <c r="G125" s="11">
        <v>117</v>
      </c>
      <c r="H125" s="18">
        <v>8950817</v>
      </c>
      <c r="I125" s="18">
        <v>8464457</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574684</v>
      </c>
      <c r="I127" s="18">
        <v>642577</v>
      </c>
    </row>
    <row r="128" spans="1:9" x14ac:dyDescent="0.2">
      <c r="A128" s="182" t="s">
        <v>95</v>
      </c>
      <c r="B128" s="182"/>
      <c r="C128" s="182"/>
      <c r="D128" s="182"/>
      <c r="E128" s="182"/>
      <c r="F128" s="182"/>
      <c r="G128" s="11">
        <v>120</v>
      </c>
      <c r="H128" s="18">
        <v>1055622</v>
      </c>
      <c r="I128" s="18">
        <v>613395</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267750</v>
      </c>
      <c r="I131" s="18">
        <v>107910</v>
      </c>
    </row>
    <row r="132" spans="1:9" ht="22.15" customHeight="1" x14ac:dyDescent="0.2">
      <c r="A132" s="183" t="s">
        <v>99</v>
      </c>
      <c r="B132" s="183"/>
      <c r="C132" s="183"/>
      <c r="D132" s="183"/>
      <c r="E132" s="183"/>
      <c r="F132" s="183"/>
      <c r="G132" s="11">
        <v>124</v>
      </c>
      <c r="H132" s="18">
        <v>7007609</v>
      </c>
      <c r="I132" s="18">
        <v>8814357</v>
      </c>
    </row>
    <row r="133" spans="1:9" ht="12.75" customHeight="1" x14ac:dyDescent="0.2">
      <c r="A133" s="184" t="s">
        <v>358</v>
      </c>
      <c r="B133" s="184"/>
      <c r="C133" s="184"/>
      <c r="D133" s="184"/>
      <c r="E133" s="184"/>
      <c r="F133" s="184"/>
      <c r="G133" s="12">
        <v>125</v>
      </c>
      <c r="H133" s="119">
        <f>H75+H98+H105+H117+H132</f>
        <v>71183864</v>
      </c>
      <c r="I133" s="119">
        <f>I75+I98+I105+I117+I132</f>
        <v>78533758</v>
      </c>
    </row>
    <row r="134" spans="1:9" x14ac:dyDescent="0.2">
      <c r="A134" s="183" t="s">
        <v>100</v>
      </c>
      <c r="B134" s="183"/>
      <c r="C134" s="183"/>
      <c r="D134" s="183"/>
      <c r="E134" s="183"/>
      <c r="F134" s="183"/>
      <c r="G134" s="11">
        <v>126</v>
      </c>
      <c r="H134" s="18">
        <f>+H133-H72</f>
        <v>0</v>
      </c>
      <c r="I134" s="18">
        <f>+I133-I72</f>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7" zoomScaleNormal="100" zoomScaleSheetLayoutView="110" workbookViewId="0">
      <selection activeCell="H124" sqref="H124"/>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469</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467</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87682903</v>
      </c>
      <c r="I8" s="52">
        <f>SUM(I9:I13)</f>
        <v>21731842</v>
      </c>
      <c r="J8" s="52">
        <f>SUM(J9:J13)</f>
        <v>89138071</v>
      </c>
      <c r="K8" s="52">
        <f>SUM(K9:K13)</f>
        <v>15375856</v>
      </c>
    </row>
    <row r="9" spans="1:11" ht="12.75" customHeight="1" x14ac:dyDescent="0.2">
      <c r="A9" s="182" t="s">
        <v>115</v>
      </c>
      <c r="B9" s="182"/>
      <c r="C9" s="182"/>
      <c r="D9" s="182"/>
      <c r="E9" s="182"/>
      <c r="F9" s="182"/>
      <c r="G9" s="11">
        <v>2</v>
      </c>
      <c r="H9" s="53">
        <v>0</v>
      </c>
      <c r="I9" s="53">
        <f>+H9</f>
        <v>0</v>
      </c>
      <c r="J9" s="53">
        <v>0</v>
      </c>
      <c r="K9" s="53">
        <f>+J9</f>
        <v>0</v>
      </c>
    </row>
    <row r="10" spans="1:11" ht="12.75" customHeight="1" x14ac:dyDescent="0.2">
      <c r="A10" s="182" t="s">
        <v>116</v>
      </c>
      <c r="B10" s="182"/>
      <c r="C10" s="182"/>
      <c r="D10" s="182"/>
      <c r="E10" s="182"/>
      <c r="F10" s="182"/>
      <c r="G10" s="11">
        <v>3</v>
      </c>
      <c r="H10" s="53">
        <v>71694185</v>
      </c>
      <c r="I10" s="53">
        <f>+H10-57917184</f>
        <v>13777001</v>
      </c>
      <c r="J10" s="53">
        <v>67680978</v>
      </c>
      <c r="K10" s="53">
        <f>+J10-53851646</f>
        <v>13829332</v>
      </c>
    </row>
    <row r="11" spans="1:11" ht="12.75" customHeight="1" x14ac:dyDescent="0.2">
      <c r="A11" s="182" t="s">
        <v>117</v>
      </c>
      <c r="B11" s="182"/>
      <c r="C11" s="182"/>
      <c r="D11" s="182"/>
      <c r="E11" s="182"/>
      <c r="F11" s="182"/>
      <c r="G11" s="11">
        <v>4</v>
      </c>
      <c r="H11" s="53">
        <v>14371509</v>
      </c>
      <c r="I11" s="53">
        <f>+H11-6623382</f>
        <v>7748127</v>
      </c>
      <c r="J11" s="53">
        <v>16898954</v>
      </c>
      <c r="K11" s="53">
        <f>+J11-15577850</f>
        <v>1321104</v>
      </c>
    </row>
    <row r="12" spans="1:11" ht="12.75" customHeight="1" x14ac:dyDescent="0.2">
      <c r="A12" s="182" t="s">
        <v>118</v>
      </c>
      <c r="B12" s="182"/>
      <c r="C12" s="182"/>
      <c r="D12" s="182"/>
      <c r="E12" s="182"/>
      <c r="F12" s="182"/>
      <c r="G12" s="11">
        <v>5</v>
      </c>
      <c r="H12" s="53">
        <v>0</v>
      </c>
      <c r="I12" s="53">
        <f t="shared" ref="I12" si="0">+H12</f>
        <v>0</v>
      </c>
      <c r="J12" s="53">
        <v>0</v>
      </c>
      <c r="K12" s="53">
        <f t="shared" ref="K12" si="1">+J12</f>
        <v>0</v>
      </c>
    </row>
    <row r="13" spans="1:11" ht="12.75" customHeight="1" x14ac:dyDescent="0.2">
      <c r="A13" s="182" t="s">
        <v>119</v>
      </c>
      <c r="B13" s="182"/>
      <c r="C13" s="182"/>
      <c r="D13" s="182"/>
      <c r="E13" s="182"/>
      <c r="F13" s="182"/>
      <c r="G13" s="11">
        <v>6</v>
      </c>
      <c r="H13" s="53">
        <v>1617209</v>
      </c>
      <c r="I13" s="53">
        <f>+H13-1410495</f>
        <v>206714</v>
      </c>
      <c r="J13" s="53">
        <v>4558139</v>
      </c>
      <c r="K13" s="53">
        <f>+J13-4332719</f>
        <v>225420</v>
      </c>
    </row>
    <row r="14" spans="1:11" ht="12.75" customHeight="1" x14ac:dyDescent="0.2">
      <c r="A14" s="213" t="s">
        <v>360</v>
      </c>
      <c r="B14" s="213"/>
      <c r="C14" s="213"/>
      <c r="D14" s="213"/>
      <c r="E14" s="213"/>
      <c r="F14" s="213"/>
      <c r="G14" s="12">
        <v>7</v>
      </c>
      <c r="H14" s="52">
        <f>H15+H16+H20+H24+H25+H26+H29+H36</f>
        <v>81536714</v>
      </c>
      <c r="I14" s="52">
        <f>I15+I16+I20+I24+I25+I26+I29+I36</f>
        <v>22313969</v>
      </c>
      <c r="J14" s="52">
        <f>J15+J16+J20+J24+J25+J26+J29+J36</f>
        <v>83030237</v>
      </c>
      <c r="K14" s="52">
        <f>K15+K16+K20+K24+K25+K26+K29+K36</f>
        <v>16669847</v>
      </c>
    </row>
    <row r="15" spans="1:11" ht="12.75" customHeight="1" x14ac:dyDescent="0.2">
      <c r="A15" s="182" t="s">
        <v>104</v>
      </c>
      <c r="B15" s="182"/>
      <c r="C15" s="182"/>
      <c r="D15" s="182"/>
      <c r="E15" s="182"/>
      <c r="F15" s="182"/>
      <c r="G15" s="11">
        <v>8</v>
      </c>
      <c r="H15" s="53">
        <v>0</v>
      </c>
      <c r="I15" s="53">
        <f t="shared" ref="I15:I28" si="2">+H15-0</f>
        <v>0</v>
      </c>
      <c r="J15" s="53">
        <v>0</v>
      </c>
      <c r="K15" s="53">
        <f t="shared" ref="K15:K27" si="3">+J15-0</f>
        <v>0</v>
      </c>
    </row>
    <row r="16" spans="1:11" ht="12.75" customHeight="1" x14ac:dyDescent="0.2">
      <c r="A16" s="186" t="s">
        <v>440</v>
      </c>
      <c r="B16" s="186"/>
      <c r="C16" s="186"/>
      <c r="D16" s="186"/>
      <c r="E16" s="186"/>
      <c r="F16" s="186"/>
      <c r="G16" s="12">
        <v>9</v>
      </c>
      <c r="H16" s="52">
        <f>SUM(H17:H19)</f>
        <v>62194604</v>
      </c>
      <c r="I16" s="52">
        <f>SUM(I17:I19)</f>
        <v>17054883</v>
      </c>
      <c r="J16" s="52">
        <f>SUM(J17:J19)</f>
        <v>61716186</v>
      </c>
      <c r="K16" s="52">
        <f>SUM(K17:K19)</f>
        <v>10370608</v>
      </c>
    </row>
    <row r="17" spans="1:11" ht="12.75" customHeight="1" x14ac:dyDescent="0.2">
      <c r="A17" s="216" t="s">
        <v>120</v>
      </c>
      <c r="B17" s="216"/>
      <c r="C17" s="216"/>
      <c r="D17" s="216"/>
      <c r="E17" s="216"/>
      <c r="F17" s="216"/>
      <c r="G17" s="11">
        <v>10</v>
      </c>
      <c r="H17" s="53">
        <v>19042377</v>
      </c>
      <c r="I17" s="53">
        <f>+H17-12641063</f>
        <v>6401314</v>
      </c>
      <c r="J17" s="53">
        <v>14081543</v>
      </c>
      <c r="K17" s="53">
        <f>+J17-12281683</f>
        <v>1799860</v>
      </c>
    </row>
    <row r="18" spans="1:11" ht="12.75" customHeight="1" x14ac:dyDescent="0.2">
      <c r="A18" s="216" t="s">
        <v>121</v>
      </c>
      <c r="B18" s="216"/>
      <c r="C18" s="216"/>
      <c r="D18" s="216"/>
      <c r="E18" s="216"/>
      <c r="F18" s="216"/>
      <c r="G18" s="11">
        <v>11</v>
      </c>
      <c r="H18" s="53">
        <v>0</v>
      </c>
      <c r="I18" s="53">
        <f t="shared" ref="I18" si="4">+H18</f>
        <v>0</v>
      </c>
      <c r="J18" s="53">
        <v>0</v>
      </c>
      <c r="K18" s="53">
        <f t="shared" ref="K18" si="5">+J18</f>
        <v>0</v>
      </c>
    </row>
    <row r="19" spans="1:11" ht="12.75" customHeight="1" x14ac:dyDescent="0.2">
      <c r="A19" s="216" t="s">
        <v>122</v>
      </c>
      <c r="B19" s="216"/>
      <c r="C19" s="216"/>
      <c r="D19" s="216"/>
      <c r="E19" s="216"/>
      <c r="F19" s="216"/>
      <c r="G19" s="11">
        <v>12</v>
      </c>
      <c r="H19" s="53">
        <v>43152227</v>
      </c>
      <c r="I19" s="53">
        <f>+H19-32498658</f>
        <v>10653569</v>
      </c>
      <c r="J19" s="53">
        <v>47634643</v>
      </c>
      <c r="K19" s="53">
        <f>+J19-39063895</f>
        <v>8570748</v>
      </c>
    </row>
    <row r="20" spans="1:11" ht="12.75" customHeight="1" x14ac:dyDescent="0.2">
      <c r="A20" s="186" t="s">
        <v>441</v>
      </c>
      <c r="B20" s="186"/>
      <c r="C20" s="186"/>
      <c r="D20" s="186"/>
      <c r="E20" s="186"/>
      <c r="F20" s="186"/>
      <c r="G20" s="12">
        <v>13</v>
      </c>
      <c r="H20" s="52">
        <f>SUM(H21:H23)</f>
        <v>10925289</v>
      </c>
      <c r="I20" s="52">
        <f>SUM(I21:I23)</f>
        <v>2871017</v>
      </c>
      <c r="J20" s="52">
        <f>SUM(J21:J23)</f>
        <v>12638744</v>
      </c>
      <c r="K20" s="52">
        <f>SUM(K21:K23)</f>
        <v>3399964</v>
      </c>
    </row>
    <row r="21" spans="1:11" ht="12.75" customHeight="1" x14ac:dyDescent="0.2">
      <c r="A21" s="216" t="s">
        <v>105</v>
      </c>
      <c r="B21" s="216"/>
      <c r="C21" s="216"/>
      <c r="D21" s="216"/>
      <c r="E21" s="216"/>
      <c r="F21" s="216"/>
      <c r="G21" s="11">
        <v>14</v>
      </c>
      <c r="H21" s="53">
        <v>6930025</v>
      </c>
      <c r="I21" s="53">
        <f>+H21-5057503</f>
        <v>1872522</v>
      </c>
      <c r="J21" s="53">
        <v>7966968</v>
      </c>
      <c r="K21" s="53">
        <f>+J21-5740853</f>
        <v>2226115</v>
      </c>
    </row>
    <row r="22" spans="1:11" ht="12.75" customHeight="1" x14ac:dyDescent="0.2">
      <c r="A22" s="216" t="s">
        <v>106</v>
      </c>
      <c r="B22" s="216"/>
      <c r="C22" s="216"/>
      <c r="D22" s="216"/>
      <c r="E22" s="216"/>
      <c r="F22" s="216"/>
      <c r="G22" s="11">
        <v>15</v>
      </c>
      <c r="H22" s="53">
        <v>2539596</v>
      </c>
      <c r="I22" s="53">
        <f>+H22-1905663</f>
        <v>633933</v>
      </c>
      <c r="J22" s="53">
        <v>2980468</v>
      </c>
      <c r="K22" s="53">
        <f>+J22-2235749</f>
        <v>744719</v>
      </c>
    </row>
    <row r="23" spans="1:11" ht="12.75" customHeight="1" x14ac:dyDescent="0.2">
      <c r="A23" s="216" t="s">
        <v>107</v>
      </c>
      <c r="B23" s="216"/>
      <c r="C23" s="216"/>
      <c r="D23" s="216"/>
      <c r="E23" s="216"/>
      <c r="F23" s="216"/>
      <c r="G23" s="11">
        <v>16</v>
      </c>
      <c r="H23" s="53">
        <v>1455668</v>
      </c>
      <c r="I23" s="53">
        <f>+H23-1091106</f>
        <v>364562</v>
      </c>
      <c r="J23" s="53">
        <v>1691308</v>
      </c>
      <c r="K23" s="53">
        <f>+J23-1262178</f>
        <v>429130</v>
      </c>
    </row>
    <row r="24" spans="1:11" ht="12.75" customHeight="1" x14ac:dyDescent="0.2">
      <c r="A24" s="182" t="s">
        <v>108</v>
      </c>
      <c r="B24" s="182"/>
      <c r="C24" s="182"/>
      <c r="D24" s="182"/>
      <c r="E24" s="182"/>
      <c r="F24" s="182"/>
      <c r="G24" s="11">
        <v>17</v>
      </c>
      <c r="H24" s="53">
        <v>6496916</v>
      </c>
      <c r="I24" s="53">
        <f>+H24-4940543</f>
        <v>1556373</v>
      </c>
      <c r="J24" s="53">
        <v>6798161</v>
      </c>
      <c r="K24" s="53">
        <f>+J24-4519649</f>
        <v>2278512</v>
      </c>
    </row>
    <row r="25" spans="1:11" ht="12.75" customHeight="1" x14ac:dyDescent="0.2">
      <c r="A25" s="182" t="s">
        <v>109</v>
      </c>
      <c r="B25" s="182"/>
      <c r="C25" s="182"/>
      <c r="D25" s="182"/>
      <c r="E25" s="182"/>
      <c r="F25" s="182"/>
      <c r="G25" s="11">
        <v>18</v>
      </c>
      <c r="H25" s="53">
        <v>1256608</v>
      </c>
      <c r="I25" s="53">
        <f>+H25-1021249</f>
        <v>235359</v>
      </c>
      <c r="J25" s="53">
        <v>1237005</v>
      </c>
      <c r="K25" s="53">
        <f>+J25-992249</f>
        <v>244756</v>
      </c>
    </row>
    <row r="26" spans="1:11" ht="12.75" customHeight="1" x14ac:dyDescent="0.2">
      <c r="A26" s="186" t="s">
        <v>442</v>
      </c>
      <c r="B26" s="186"/>
      <c r="C26" s="186"/>
      <c r="D26" s="186"/>
      <c r="E26" s="186"/>
      <c r="F26" s="186"/>
      <c r="G26" s="12">
        <v>19</v>
      </c>
      <c r="H26" s="52">
        <f>H27+H28</f>
        <v>131</v>
      </c>
      <c r="I26" s="52">
        <f>I27+I28</f>
        <v>131</v>
      </c>
      <c r="J26" s="52">
        <f>J27+J28</f>
        <v>52654</v>
      </c>
      <c r="K26" s="52">
        <f>K27+K28</f>
        <v>2654</v>
      </c>
    </row>
    <row r="27" spans="1:11" ht="12.75" customHeight="1" x14ac:dyDescent="0.2">
      <c r="A27" s="216" t="s">
        <v>123</v>
      </c>
      <c r="B27" s="216"/>
      <c r="C27" s="216"/>
      <c r="D27" s="216"/>
      <c r="E27" s="216"/>
      <c r="F27" s="216"/>
      <c r="G27" s="11">
        <v>20</v>
      </c>
      <c r="H27" s="53">
        <v>0</v>
      </c>
      <c r="I27" s="53">
        <f t="shared" si="2"/>
        <v>0</v>
      </c>
      <c r="J27" s="53">
        <v>2654</v>
      </c>
      <c r="K27" s="53">
        <f t="shared" si="3"/>
        <v>2654</v>
      </c>
    </row>
    <row r="28" spans="1:11" ht="12.75" customHeight="1" x14ac:dyDescent="0.2">
      <c r="A28" s="216" t="s">
        <v>124</v>
      </c>
      <c r="B28" s="216"/>
      <c r="C28" s="216"/>
      <c r="D28" s="216"/>
      <c r="E28" s="216"/>
      <c r="F28" s="216"/>
      <c r="G28" s="11">
        <v>21</v>
      </c>
      <c r="H28" s="53">
        <v>131</v>
      </c>
      <c r="I28" s="53">
        <f t="shared" si="2"/>
        <v>131</v>
      </c>
      <c r="J28" s="53">
        <v>50000</v>
      </c>
      <c r="K28" s="53">
        <f>+J28-50000</f>
        <v>0</v>
      </c>
    </row>
    <row r="29" spans="1:11" ht="12.75" customHeight="1" x14ac:dyDescent="0.2">
      <c r="A29" s="186" t="s">
        <v>443</v>
      </c>
      <c r="B29" s="186"/>
      <c r="C29" s="186"/>
      <c r="D29" s="186"/>
      <c r="E29" s="186"/>
      <c r="F29" s="186"/>
      <c r="G29" s="12">
        <v>22</v>
      </c>
      <c r="H29" s="52">
        <f>SUM(H30:H35)</f>
        <v>597774</v>
      </c>
      <c r="I29" s="52">
        <f>SUM(I30:I35)</f>
        <v>589046</v>
      </c>
      <c r="J29" s="52">
        <f>SUM(J30:J35)</f>
        <v>366076</v>
      </c>
      <c r="K29" s="52">
        <f>SUM(K30:K35)</f>
        <v>366076</v>
      </c>
    </row>
    <row r="30" spans="1:11" ht="12.75" customHeight="1" x14ac:dyDescent="0.2">
      <c r="A30" s="216" t="s">
        <v>125</v>
      </c>
      <c r="B30" s="216"/>
      <c r="C30" s="216"/>
      <c r="D30" s="216"/>
      <c r="E30" s="216"/>
      <c r="F30" s="216"/>
      <c r="G30" s="11">
        <v>23</v>
      </c>
      <c r="H30" s="53">
        <v>343991</v>
      </c>
      <c r="I30" s="53">
        <f t="shared" ref="I30:I31" si="6">+H30-0</f>
        <v>343991</v>
      </c>
      <c r="J30" s="53">
        <v>366076</v>
      </c>
      <c r="K30" s="53">
        <f>+J30</f>
        <v>366076</v>
      </c>
    </row>
    <row r="31" spans="1:11" ht="12.75" customHeight="1" x14ac:dyDescent="0.2">
      <c r="A31" s="216" t="s">
        <v>126</v>
      </c>
      <c r="B31" s="216"/>
      <c r="C31" s="216"/>
      <c r="D31" s="216"/>
      <c r="E31" s="216"/>
      <c r="F31" s="216"/>
      <c r="G31" s="11">
        <v>24</v>
      </c>
      <c r="H31" s="53">
        <v>0</v>
      </c>
      <c r="I31" s="53">
        <f t="shared" si="6"/>
        <v>0</v>
      </c>
      <c r="J31" s="53">
        <v>0</v>
      </c>
      <c r="K31" s="53">
        <f t="shared" ref="K31:K35" si="7">+J31</f>
        <v>0</v>
      </c>
    </row>
    <row r="32" spans="1:11" ht="12.75" customHeight="1" x14ac:dyDescent="0.2">
      <c r="A32" s="216" t="s">
        <v>127</v>
      </c>
      <c r="B32" s="216"/>
      <c r="C32" s="216"/>
      <c r="D32" s="216"/>
      <c r="E32" s="216"/>
      <c r="F32" s="216"/>
      <c r="G32" s="11">
        <v>25</v>
      </c>
      <c r="H32" s="53">
        <v>253783</v>
      </c>
      <c r="I32" s="53">
        <f>+H32-8728</f>
        <v>245055</v>
      </c>
      <c r="J32" s="53">
        <v>0</v>
      </c>
      <c r="K32" s="53">
        <f t="shared" si="7"/>
        <v>0</v>
      </c>
    </row>
    <row r="33" spans="1:11" ht="12.75" customHeight="1" x14ac:dyDescent="0.2">
      <c r="A33" s="216" t="s">
        <v>128</v>
      </c>
      <c r="B33" s="216"/>
      <c r="C33" s="216"/>
      <c r="D33" s="216"/>
      <c r="E33" s="216"/>
      <c r="F33" s="216"/>
      <c r="G33" s="11">
        <v>26</v>
      </c>
      <c r="H33" s="53">
        <v>0</v>
      </c>
      <c r="I33" s="53">
        <f t="shared" ref="I33:I35" si="8">+H33</f>
        <v>0</v>
      </c>
      <c r="J33" s="53">
        <v>0</v>
      </c>
      <c r="K33" s="53">
        <f t="shared" si="7"/>
        <v>0</v>
      </c>
    </row>
    <row r="34" spans="1:11" ht="12.75" customHeight="1" x14ac:dyDescent="0.2">
      <c r="A34" s="216" t="s">
        <v>129</v>
      </c>
      <c r="B34" s="216"/>
      <c r="C34" s="216"/>
      <c r="D34" s="216"/>
      <c r="E34" s="216"/>
      <c r="F34" s="216"/>
      <c r="G34" s="11">
        <v>27</v>
      </c>
      <c r="H34" s="53">
        <v>0</v>
      </c>
      <c r="I34" s="53">
        <f t="shared" si="8"/>
        <v>0</v>
      </c>
      <c r="J34" s="53">
        <v>0</v>
      </c>
      <c r="K34" s="53">
        <f t="shared" si="7"/>
        <v>0</v>
      </c>
    </row>
    <row r="35" spans="1:11" ht="12.75" customHeight="1" x14ac:dyDescent="0.2">
      <c r="A35" s="216" t="s">
        <v>130</v>
      </c>
      <c r="B35" s="216"/>
      <c r="C35" s="216"/>
      <c r="D35" s="216"/>
      <c r="E35" s="216"/>
      <c r="F35" s="216"/>
      <c r="G35" s="11">
        <v>28</v>
      </c>
      <c r="H35" s="53">
        <v>0</v>
      </c>
      <c r="I35" s="53">
        <f t="shared" si="8"/>
        <v>0</v>
      </c>
      <c r="J35" s="53">
        <v>0</v>
      </c>
      <c r="K35" s="53">
        <f t="shared" si="7"/>
        <v>0</v>
      </c>
    </row>
    <row r="36" spans="1:11" ht="12.75" customHeight="1" x14ac:dyDescent="0.2">
      <c r="A36" s="182" t="s">
        <v>110</v>
      </c>
      <c r="B36" s="182"/>
      <c r="C36" s="182"/>
      <c r="D36" s="182"/>
      <c r="E36" s="182"/>
      <c r="F36" s="182"/>
      <c r="G36" s="11">
        <v>29</v>
      </c>
      <c r="H36" s="53">
        <v>65392</v>
      </c>
      <c r="I36" s="53">
        <f>+H36-58232</f>
        <v>7160</v>
      </c>
      <c r="J36" s="53">
        <v>221411</v>
      </c>
      <c r="K36" s="53">
        <f>+J36-214134</f>
        <v>7277</v>
      </c>
    </row>
    <row r="37" spans="1:11" ht="12.75" customHeight="1" x14ac:dyDescent="0.2">
      <c r="A37" s="213" t="s">
        <v>361</v>
      </c>
      <c r="B37" s="213"/>
      <c r="C37" s="213"/>
      <c r="D37" s="213"/>
      <c r="E37" s="213"/>
      <c r="F37" s="213"/>
      <c r="G37" s="12">
        <v>30</v>
      </c>
      <c r="H37" s="52">
        <f>SUM(H38:H47)</f>
        <v>95985</v>
      </c>
      <c r="I37" s="52">
        <f>SUM(I38:I47)</f>
        <v>-110082</v>
      </c>
      <c r="J37" s="52">
        <f>SUM(J38:J47)</f>
        <v>600856</v>
      </c>
      <c r="K37" s="52">
        <f>SUM(K38:K47)</f>
        <v>464531</v>
      </c>
    </row>
    <row r="38" spans="1:11" ht="12.75" customHeight="1" x14ac:dyDescent="0.2">
      <c r="A38" s="182" t="s">
        <v>131</v>
      </c>
      <c r="B38" s="182"/>
      <c r="C38" s="182"/>
      <c r="D38" s="182"/>
      <c r="E38" s="182"/>
      <c r="F38" s="182"/>
      <c r="G38" s="11">
        <v>31</v>
      </c>
      <c r="H38" s="53">
        <v>0</v>
      </c>
      <c r="I38" s="53">
        <f t="shared" ref="I38:I42" si="9">+H38-0</f>
        <v>0</v>
      </c>
      <c r="J38" s="53">
        <v>0</v>
      </c>
      <c r="K38" s="53">
        <f>+J38</f>
        <v>0</v>
      </c>
    </row>
    <row r="39" spans="1:11" ht="25.15" customHeight="1" x14ac:dyDescent="0.2">
      <c r="A39" s="182" t="s">
        <v>132</v>
      </c>
      <c r="B39" s="182"/>
      <c r="C39" s="182"/>
      <c r="D39" s="182"/>
      <c r="E39" s="182"/>
      <c r="F39" s="182"/>
      <c r="G39" s="11">
        <v>32</v>
      </c>
      <c r="H39" s="53">
        <v>0</v>
      </c>
      <c r="I39" s="53">
        <f t="shared" si="9"/>
        <v>0</v>
      </c>
      <c r="J39" s="53">
        <v>0</v>
      </c>
      <c r="K39" s="53">
        <f t="shared" ref="K39:K46" si="10">+J39</f>
        <v>0</v>
      </c>
    </row>
    <row r="40" spans="1:11" ht="25.15" customHeight="1" x14ac:dyDescent="0.2">
      <c r="A40" s="182" t="s">
        <v>133</v>
      </c>
      <c r="B40" s="182"/>
      <c r="C40" s="182"/>
      <c r="D40" s="182"/>
      <c r="E40" s="182"/>
      <c r="F40" s="182"/>
      <c r="G40" s="11">
        <v>33</v>
      </c>
      <c r="H40" s="53">
        <v>0</v>
      </c>
      <c r="I40" s="53">
        <f t="shared" si="9"/>
        <v>0</v>
      </c>
      <c r="J40" s="53">
        <v>0</v>
      </c>
      <c r="K40" s="53">
        <f t="shared" si="10"/>
        <v>0</v>
      </c>
    </row>
    <row r="41" spans="1:11" ht="25.15" customHeight="1" x14ac:dyDescent="0.2">
      <c r="A41" s="182" t="s">
        <v>134</v>
      </c>
      <c r="B41" s="182"/>
      <c r="C41" s="182"/>
      <c r="D41" s="182"/>
      <c r="E41" s="182"/>
      <c r="F41" s="182"/>
      <c r="G41" s="11">
        <v>34</v>
      </c>
      <c r="H41" s="53">
        <v>0</v>
      </c>
      <c r="I41" s="53">
        <f t="shared" si="9"/>
        <v>0</v>
      </c>
      <c r="J41" s="53">
        <v>0</v>
      </c>
      <c r="K41" s="53">
        <f t="shared" si="10"/>
        <v>0</v>
      </c>
    </row>
    <row r="42" spans="1:11" ht="25.15" customHeight="1" x14ac:dyDescent="0.2">
      <c r="A42" s="182" t="s">
        <v>135</v>
      </c>
      <c r="B42" s="182"/>
      <c r="C42" s="182"/>
      <c r="D42" s="182"/>
      <c r="E42" s="182"/>
      <c r="F42" s="182"/>
      <c r="G42" s="11">
        <v>35</v>
      </c>
      <c r="H42" s="53">
        <v>0</v>
      </c>
      <c r="I42" s="53">
        <f t="shared" si="9"/>
        <v>0</v>
      </c>
      <c r="J42" s="53">
        <v>0</v>
      </c>
      <c r="K42" s="53">
        <f t="shared" si="10"/>
        <v>0</v>
      </c>
    </row>
    <row r="43" spans="1:11" ht="12.75" customHeight="1" x14ac:dyDescent="0.2">
      <c r="A43" s="182" t="s">
        <v>136</v>
      </c>
      <c r="B43" s="182"/>
      <c r="C43" s="182"/>
      <c r="D43" s="182"/>
      <c r="E43" s="182"/>
      <c r="F43" s="182"/>
      <c r="G43" s="11">
        <v>36</v>
      </c>
      <c r="H43" s="53">
        <v>0</v>
      </c>
      <c r="I43" s="53">
        <f>+H43-0</f>
        <v>0</v>
      </c>
      <c r="J43" s="53">
        <v>0</v>
      </c>
      <c r="K43" s="53">
        <f t="shared" si="10"/>
        <v>0</v>
      </c>
    </row>
    <row r="44" spans="1:11" ht="12.75" customHeight="1" x14ac:dyDescent="0.2">
      <c r="A44" s="182" t="s">
        <v>137</v>
      </c>
      <c r="B44" s="182"/>
      <c r="C44" s="182"/>
      <c r="D44" s="182"/>
      <c r="E44" s="182"/>
      <c r="F44" s="182"/>
      <c r="G44" s="11">
        <v>37</v>
      </c>
      <c r="H44" s="53">
        <v>95241</v>
      </c>
      <c r="I44" s="53">
        <f>+H44-21638</f>
        <v>73603</v>
      </c>
      <c r="J44" s="53">
        <v>140890</v>
      </c>
      <c r="K44" s="53">
        <f>+J44-99887</f>
        <v>41003</v>
      </c>
    </row>
    <row r="45" spans="1:11" ht="12.75" customHeight="1" x14ac:dyDescent="0.2">
      <c r="A45" s="182" t="s">
        <v>138</v>
      </c>
      <c r="B45" s="182"/>
      <c r="C45" s="182"/>
      <c r="D45" s="182"/>
      <c r="E45" s="182"/>
      <c r="F45" s="182"/>
      <c r="G45" s="11">
        <v>38</v>
      </c>
      <c r="H45" s="53">
        <v>0</v>
      </c>
      <c r="I45" s="53">
        <f>+H45-183685</f>
        <v>-183685</v>
      </c>
      <c r="J45" s="53">
        <f>1004760-545612</f>
        <v>459148</v>
      </c>
      <c r="K45" s="53">
        <f>+J45-35620</f>
        <v>423528</v>
      </c>
    </row>
    <row r="46" spans="1:11" ht="12.75" customHeight="1" x14ac:dyDescent="0.2">
      <c r="A46" s="182" t="s">
        <v>139</v>
      </c>
      <c r="B46" s="182"/>
      <c r="C46" s="182"/>
      <c r="D46" s="182"/>
      <c r="E46" s="182"/>
      <c r="F46" s="182"/>
      <c r="G46" s="11">
        <v>39</v>
      </c>
      <c r="H46" s="53">
        <v>0</v>
      </c>
      <c r="I46" s="53">
        <f t="shared" ref="I46" si="11">+H46-0</f>
        <v>0</v>
      </c>
      <c r="J46" s="53">
        <v>0</v>
      </c>
      <c r="K46" s="53">
        <f t="shared" si="10"/>
        <v>0</v>
      </c>
    </row>
    <row r="47" spans="1:11" ht="12.75" customHeight="1" x14ac:dyDescent="0.2">
      <c r="A47" s="182" t="s">
        <v>140</v>
      </c>
      <c r="B47" s="182"/>
      <c r="C47" s="182"/>
      <c r="D47" s="182"/>
      <c r="E47" s="182"/>
      <c r="F47" s="182"/>
      <c r="G47" s="11">
        <v>40</v>
      </c>
      <c r="H47" s="53">
        <v>744</v>
      </c>
      <c r="I47" s="53">
        <f>+H47-744</f>
        <v>0</v>
      </c>
      <c r="J47" s="53">
        <v>818</v>
      </c>
      <c r="K47" s="53">
        <f>+J47-818</f>
        <v>0</v>
      </c>
    </row>
    <row r="48" spans="1:11" ht="12.75" customHeight="1" x14ac:dyDescent="0.2">
      <c r="A48" s="213" t="s">
        <v>362</v>
      </c>
      <c r="B48" s="213"/>
      <c r="C48" s="213"/>
      <c r="D48" s="213"/>
      <c r="E48" s="213"/>
      <c r="F48" s="213"/>
      <c r="G48" s="12">
        <v>41</v>
      </c>
      <c r="H48" s="52">
        <f>SUM(H49:H55)</f>
        <v>455179</v>
      </c>
      <c r="I48" s="52">
        <f>SUM(I49:I55)</f>
        <v>415800</v>
      </c>
      <c r="J48" s="52">
        <f>SUM(J49:J55)</f>
        <v>26339</v>
      </c>
      <c r="K48" s="52">
        <f>SUM(K49:K55)</f>
        <v>4443</v>
      </c>
    </row>
    <row r="49" spans="1:11" ht="25.15" customHeight="1" x14ac:dyDescent="0.2">
      <c r="A49" s="182" t="s">
        <v>141</v>
      </c>
      <c r="B49" s="182"/>
      <c r="C49" s="182"/>
      <c r="D49" s="182"/>
      <c r="E49" s="182"/>
      <c r="F49" s="182"/>
      <c r="G49" s="11">
        <v>42</v>
      </c>
      <c r="H49" s="53">
        <v>0</v>
      </c>
      <c r="I49" s="53">
        <f>+H49-0</f>
        <v>0</v>
      </c>
      <c r="J49" s="53">
        <v>0</v>
      </c>
      <c r="K49" s="53">
        <f>+J49</f>
        <v>0</v>
      </c>
    </row>
    <row r="50" spans="1:11" ht="12.75" customHeight="1" x14ac:dyDescent="0.2">
      <c r="A50" s="206" t="s">
        <v>142</v>
      </c>
      <c r="B50" s="206"/>
      <c r="C50" s="206"/>
      <c r="D50" s="206"/>
      <c r="E50" s="206"/>
      <c r="F50" s="206"/>
      <c r="G50" s="11">
        <v>43</v>
      </c>
      <c r="H50" s="53">
        <v>0</v>
      </c>
      <c r="I50" s="53">
        <f t="shared" ref="I50:I59" si="12">+H50-0</f>
        <v>0</v>
      </c>
      <c r="J50" s="53">
        <v>0</v>
      </c>
      <c r="K50" s="53">
        <f t="shared" ref="K50:K59" si="13">+J50</f>
        <v>0</v>
      </c>
    </row>
    <row r="51" spans="1:11" ht="12.75" customHeight="1" x14ac:dyDescent="0.2">
      <c r="A51" s="206" t="s">
        <v>143</v>
      </c>
      <c r="B51" s="206"/>
      <c r="C51" s="206"/>
      <c r="D51" s="206"/>
      <c r="E51" s="206"/>
      <c r="F51" s="206"/>
      <c r="G51" s="11">
        <v>44</v>
      </c>
      <c r="H51" s="53">
        <v>48532</v>
      </c>
      <c r="I51" s="53">
        <f>+H51-39379</f>
        <v>9153</v>
      </c>
      <c r="J51" s="53">
        <v>26339</v>
      </c>
      <c r="K51" s="53">
        <f>+J51-21896</f>
        <v>4443</v>
      </c>
    </row>
    <row r="52" spans="1:11" ht="12.75" customHeight="1" x14ac:dyDescent="0.2">
      <c r="A52" s="206" t="s">
        <v>144</v>
      </c>
      <c r="B52" s="206"/>
      <c r="C52" s="206"/>
      <c r="D52" s="206"/>
      <c r="E52" s="206"/>
      <c r="F52" s="206"/>
      <c r="G52" s="11">
        <v>45</v>
      </c>
      <c r="H52" s="53">
        <v>406647</v>
      </c>
      <c r="I52" s="53">
        <f>+H52-0</f>
        <v>406647</v>
      </c>
      <c r="J52" s="53">
        <v>0</v>
      </c>
      <c r="K52" s="53">
        <f t="shared" si="13"/>
        <v>0</v>
      </c>
    </row>
    <row r="53" spans="1:11" ht="12.75" customHeight="1" x14ac:dyDescent="0.2">
      <c r="A53" s="206" t="s">
        <v>145</v>
      </c>
      <c r="B53" s="206"/>
      <c r="C53" s="206"/>
      <c r="D53" s="206"/>
      <c r="E53" s="206"/>
      <c r="F53" s="206"/>
      <c r="G53" s="11">
        <v>46</v>
      </c>
      <c r="H53" s="53">
        <v>0</v>
      </c>
      <c r="I53" s="53">
        <f t="shared" si="12"/>
        <v>0</v>
      </c>
      <c r="J53" s="53">
        <v>0</v>
      </c>
      <c r="K53" s="53">
        <f t="shared" si="13"/>
        <v>0</v>
      </c>
    </row>
    <row r="54" spans="1:11" ht="12.75" customHeight="1" x14ac:dyDescent="0.2">
      <c r="A54" s="206" t="s">
        <v>146</v>
      </c>
      <c r="B54" s="206"/>
      <c r="C54" s="206"/>
      <c r="D54" s="206"/>
      <c r="E54" s="206"/>
      <c r="F54" s="206"/>
      <c r="G54" s="11">
        <v>47</v>
      </c>
      <c r="H54" s="53">
        <v>0</v>
      </c>
      <c r="I54" s="53">
        <f t="shared" si="12"/>
        <v>0</v>
      </c>
      <c r="J54" s="53">
        <v>0</v>
      </c>
      <c r="K54" s="53">
        <f t="shared" si="13"/>
        <v>0</v>
      </c>
    </row>
    <row r="55" spans="1:11" ht="12.75" customHeight="1" x14ac:dyDescent="0.2">
      <c r="A55" s="206" t="s">
        <v>147</v>
      </c>
      <c r="B55" s="206"/>
      <c r="C55" s="206"/>
      <c r="D55" s="206"/>
      <c r="E55" s="206"/>
      <c r="F55" s="206"/>
      <c r="G55" s="11">
        <v>48</v>
      </c>
      <c r="H55" s="53">
        <v>0</v>
      </c>
      <c r="I55" s="53">
        <f t="shared" si="12"/>
        <v>0</v>
      </c>
      <c r="J55" s="53">
        <v>0</v>
      </c>
      <c r="K55" s="53">
        <f t="shared" si="13"/>
        <v>0</v>
      </c>
    </row>
    <row r="56" spans="1:11" ht="22.15" customHeight="1" x14ac:dyDescent="0.2">
      <c r="A56" s="215" t="s">
        <v>148</v>
      </c>
      <c r="B56" s="215"/>
      <c r="C56" s="215"/>
      <c r="D56" s="215"/>
      <c r="E56" s="215"/>
      <c r="F56" s="215"/>
      <c r="G56" s="11">
        <v>49</v>
      </c>
      <c r="H56" s="53">
        <v>0</v>
      </c>
      <c r="I56" s="53">
        <f t="shared" si="12"/>
        <v>0</v>
      </c>
      <c r="J56" s="53">
        <v>0</v>
      </c>
      <c r="K56" s="53">
        <f t="shared" si="13"/>
        <v>0</v>
      </c>
    </row>
    <row r="57" spans="1:11" ht="12.75" customHeight="1" x14ac:dyDescent="0.2">
      <c r="A57" s="215" t="s">
        <v>149</v>
      </c>
      <c r="B57" s="215"/>
      <c r="C57" s="215"/>
      <c r="D57" s="215"/>
      <c r="E57" s="215"/>
      <c r="F57" s="215"/>
      <c r="G57" s="11">
        <v>50</v>
      </c>
      <c r="H57" s="53">
        <v>0</v>
      </c>
      <c r="I57" s="53">
        <f t="shared" si="12"/>
        <v>0</v>
      </c>
      <c r="J57" s="53">
        <v>0</v>
      </c>
      <c r="K57" s="53">
        <f t="shared" si="13"/>
        <v>0</v>
      </c>
    </row>
    <row r="58" spans="1:11" ht="24.6" customHeight="1" x14ac:dyDescent="0.2">
      <c r="A58" s="215" t="s">
        <v>150</v>
      </c>
      <c r="B58" s="215"/>
      <c r="C58" s="215"/>
      <c r="D58" s="215"/>
      <c r="E58" s="215"/>
      <c r="F58" s="215"/>
      <c r="G58" s="11">
        <v>51</v>
      </c>
      <c r="H58" s="53">
        <v>0</v>
      </c>
      <c r="I58" s="53">
        <f t="shared" si="12"/>
        <v>0</v>
      </c>
      <c r="J58" s="53">
        <v>0</v>
      </c>
      <c r="K58" s="53">
        <f t="shared" si="13"/>
        <v>0</v>
      </c>
    </row>
    <row r="59" spans="1:11" ht="12.75" customHeight="1" x14ac:dyDescent="0.2">
      <c r="A59" s="215" t="s">
        <v>151</v>
      </c>
      <c r="B59" s="215"/>
      <c r="C59" s="215"/>
      <c r="D59" s="215"/>
      <c r="E59" s="215"/>
      <c r="F59" s="215"/>
      <c r="G59" s="11">
        <v>52</v>
      </c>
      <c r="H59" s="53">
        <v>0</v>
      </c>
      <c r="I59" s="53">
        <f t="shared" si="12"/>
        <v>0</v>
      </c>
      <c r="J59" s="53">
        <v>0</v>
      </c>
      <c r="K59" s="53">
        <f t="shared" si="13"/>
        <v>0</v>
      </c>
    </row>
    <row r="60" spans="1:11" ht="12.75" customHeight="1" x14ac:dyDescent="0.2">
      <c r="A60" s="213" t="s">
        <v>363</v>
      </c>
      <c r="B60" s="213"/>
      <c r="C60" s="213"/>
      <c r="D60" s="213"/>
      <c r="E60" s="213"/>
      <c r="F60" s="213"/>
      <c r="G60" s="12">
        <v>53</v>
      </c>
      <c r="H60" s="52">
        <f>H8+H37+H56+H57</f>
        <v>87778888</v>
      </c>
      <c r="I60" s="52">
        <f t="shared" ref="I60:K60" si="14">I8+I37+I56+I57</f>
        <v>21621760</v>
      </c>
      <c r="J60" s="52">
        <f t="shared" si="14"/>
        <v>89738927</v>
      </c>
      <c r="K60" s="52">
        <f t="shared" si="14"/>
        <v>15840387</v>
      </c>
    </row>
    <row r="61" spans="1:11" ht="12.75" customHeight="1" x14ac:dyDescent="0.2">
      <c r="A61" s="213" t="s">
        <v>364</v>
      </c>
      <c r="B61" s="213"/>
      <c r="C61" s="213"/>
      <c r="D61" s="213"/>
      <c r="E61" s="213"/>
      <c r="F61" s="213"/>
      <c r="G61" s="12">
        <v>54</v>
      </c>
      <c r="H61" s="52">
        <f>H14+H48+H58+H59</f>
        <v>81991893</v>
      </c>
      <c r="I61" s="52">
        <f t="shared" ref="I61:K61" si="15">I14+I48+I58+I59</f>
        <v>22729769</v>
      </c>
      <c r="J61" s="52">
        <f t="shared" si="15"/>
        <v>83056576</v>
      </c>
      <c r="K61" s="52">
        <f t="shared" si="15"/>
        <v>16674290</v>
      </c>
    </row>
    <row r="62" spans="1:11" ht="12.75" customHeight="1" x14ac:dyDescent="0.2">
      <c r="A62" s="213" t="s">
        <v>365</v>
      </c>
      <c r="B62" s="213"/>
      <c r="C62" s="213"/>
      <c r="D62" s="213"/>
      <c r="E62" s="213"/>
      <c r="F62" s="213"/>
      <c r="G62" s="12">
        <v>55</v>
      </c>
      <c r="H62" s="52">
        <f>H60-H61</f>
        <v>5786995</v>
      </c>
      <c r="I62" s="52">
        <f t="shared" ref="I62:K62" si="16">I60-I61</f>
        <v>-1108009</v>
      </c>
      <c r="J62" s="52">
        <f t="shared" si="16"/>
        <v>6682351</v>
      </c>
      <c r="K62" s="52">
        <f t="shared" si="16"/>
        <v>-833903</v>
      </c>
    </row>
    <row r="63" spans="1:11" ht="12.75" customHeight="1" x14ac:dyDescent="0.2">
      <c r="A63" s="214" t="s">
        <v>366</v>
      </c>
      <c r="B63" s="214"/>
      <c r="C63" s="214"/>
      <c r="D63" s="214"/>
      <c r="E63" s="214"/>
      <c r="F63" s="214"/>
      <c r="G63" s="12">
        <v>56</v>
      </c>
      <c r="H63" s="52">
        <f>+IF((H60-H61)&gt;0,(H60-H61),0)</f>
        <v>5786995</v>
      </c>
      <c r="I63" s="52">
        <f t="shared" ref="I63:K63" si="17">+IF((I60-I61)&gt;0,(I60-I61),0)</f>
        <v>0</v>
      </c>
      <c r="J63" s="52">
        <f t="shared" si="17"/>
        <v>6682351</v>
      </c>
      <c r="K63" s="52">
        <f t="shared" si="17"/>
        <v>0</v>
      </c>
    </row>
    <row r="64" spans="1:11" ht="12.75" customHeight="1" x14ac:dyDescent="0.2">
      <c r="A64" s="214" t="s">
        <v>367</v>
      </c>
      <c r="B64" s="214"/>
      <c r="C64" s="214"/>
      <c r="D64" s="214"/>
      <c r="E64" s="214"/>
      <c r="F64" s="214"/>
      <c r="G64" s="12">
        <v>57</v>
      </c>
      <c r="H64" s="52">
        <f>+IF((H60-H61)&lt;0,(H60-H61),0)</f>
        <v>0</v>
      </c>
      <c r="I64" s="52">
        <f t="shared" ref="I64:K64" si="18">+IF((I60-I61)&lt;0,(I60-I61),0)</f>
        <v>-1108009</v>
      </c>
      <c r="J64" s="52">
        <f t="shared" si="18"/>
        <v>0</v>
      </c>
      <c r="K64" s="52">
        <f t="shared" si="18"/>
        <v>-833903</v>
      </c>
    </row>
    <row r="65" spans="1:11" ht="12.75" customHeight="1" x14ac:dyDescent="0.2">
      <c r="A65" s="215" t="s">
        <v>111</v>
      </c>
      <c r="B65" s="215"/>
      <c r="C65" s="215"/>
      <c r="D65" s="215"/>
      <c r="E65" s="215"/>
      <c r="F65" s="215"/>
      <c r="G65" s="11">
        <v>58</v>
      </c>
      <c r="H65" s="53">
        <v>1057747</v>
      </c>
      <c r="I65" s="53">
        <f>+H65-1248105</f>
        <v>-190358</v>
      </c>
      <c r="J65" s="53">
        <v>1202823</v>
      </c>
      <c r="K65" s="53">
        <f>+J65-1352926</f>
        <v>-150103</v>
      </c>
    </row>
    <row r="66" spans="1:11" ht="12.75" customHeight="1" x14ac:dyDescent="0.2">
      <c r="A66" s="213" t="s">
        <v>368</v>
      </c>
      <c r="B66" s="213"/>
      <c r="C66" s="213"/>
      <c r="D66" s="213"/>
      <c r="E66" s="213"/>
      <c r="F66" s="213"/>
      <c r="G66" s="12">
        <v>59</v>
      </c>
      <c r="H66" s="52">
        <f>H62-H65</f>
        <v>4729248</v>
      </c>
      <c r="I66" s="52">
        <f t="shared" ref="I66:K66" si="19">I62-I65</f>
        <v>-917651</v>
      </c>
      <c r="J66" s="52">
        <f t="shared" si="19"/>
        <v>5479528</v>
      </c>
      <c r="K66" s="52">
        <f t="shared" si="19"/>
        <v>-683800</v>
      </c>
    </row>
    <row r="67" spans="1:11" ht="12.75" customHeight="1" x14ac:dyDescent="0.2">
      <c r="A67" s="214" t="s">
        <v>369</v>
      </c>
      <c r="B67" s="214"/>
      <c r="C67" s="214"/>
      <c r="D67" s="214"/>
      <c r="E67" s="214"/>
      <c r="F67" s="214"/>
      <c r="G67" s="12">
        <v>60</v>
      </c>
      <c r="H67" s="52">
        <f>+IF((H62-H65)&gt;0,(H62-H65),0)</f>
        <v>4729248</v>
      </c>
      <c r="I67" s="52">
        <f t="shared" ref="I67:K67" si="20">+IF((I62-I65)&gt;0,(I62-I65),0)</f>
        <v>0</v>
      </c>
      <c r="J67" s="52">
        <f t="shared" si="20"/>
        <v>5479528</v>
      </c>
      <c r="K67" s="52">
        <f t="shared" si="20"/>
        <v>0</v>
      </c>
    </row>
    <row r="68" spans="1:11" ht="12.75" customHeight="1" x14ac:dyDescent="0.2">
      <c r="A68" s="214" t="s">
        <v>370</v>
      </c>
      <c r="B68" s="214"/>
      <c r="C68" s="214"/>
      <c r="D68" s="214"/>
      <c r="E68" s="214"/>
      <c r="F68" s="214"/>
      <c r="G68" s="12">
        <v>61</v>
      </c>
      <c r="H68" s="52">
        <f>+IF((H62-H65)&lt;0,(H62-H65),0)</f>
        <v>0</v>
      </c>
      <c r="I68" s="52">
        <f t="shared" ref="I68:K68" si="21">+IF((I62-I65)&lt;0,(I62-I65),0)</f>
        <v>-917651</v>
      </c>
      <c r="J68" s="52">
        <f t="shared" si="21"/>
        <v>0</v>
      </c>
      <c r="K68" s="52">
        <f t="shared" si="21"/>
        <v>-683800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f t="shared" ref="I71:I73" si="22">+H71-0</f>
        <v>0</v>
      </c>
      <c r="J71" s="53">
        <v>0</v>
      </c>
      <c r="K71" s="53">
        <f t="shared" ref="K71:K73" si="23">+J71-0</f>
        <v>0</v>
      </c>
    </row>
    <row r="72" spans="1:11" ht="12.75" customHeight="1" x14ac:dyDescent="0.2">
      <c r="A72" s="206" t="s">
        <v>154</v>
      </c>
      <c r="B72" s="206"/>
      <c r="C72" s="206"/>
      <c r="D72" s="206"/>
      <c r="E72" s="206"/>
      <c r="F72" s="206"/>
      <c r="G72" s="11">
        <v>64</v>
      </c>
      <c r="H72" s="53">
        <v>0</v>
      </c>
      <c r="I72" s="53">
        <f t="shared" si="22"/>
        <v>0</v>
      </c>
      <c r="J72" s="53">
        <v>0</v>
      </c>
      <c r="K72" s="53">
        <f t="shared" si="23"/>
        <v>0</v>
      </c>
    </row>
    <row r="73" spans="1:11" ht="12.75" customHeight="1" x14ac:dyDescent="0.2">
      <c r="A73" s="215" t="s">
        <v>155</v>
      </c>
      <c r="B73" s="215"/>
      <c r="C73" s="215"/>
      <c r="D73" s="215"/>
      <c r="E73" s="215"/>
      <c r="F73" s="215"/>
      <c r="G73" s="11">
        <v>65</v>
      </c>
      <c r="H73" s="53">
        <v>0</v>
      </c>
      <c r="I73" s="53">
        <f t="shared" si="22"/>
        <v>0</v>
      </c>
      <c r="J73" s="53">
        <v>0</v>
      </c>
      <c r="K73" s="53">
        <f t="shared" si="2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f t="shared" ref="I78:I79" si="24">+H78-0</f>
        <v>0</v>
      </c>
      <c r="J78" s="54">
        <v>0</v>
      </c>
      <c r="K78" s="54">
        <f t="shared" ref="K78:K79" si="25">+J78-0</f>
        <v>0</v>
      </c>
    </row>
    <row r="79" spans="1:11" ht="12.75" customHeight="1" x14ac:dyDescent="0.2">
      <c r="A79" s="212" t="s">
        <v>376</v>
      </c>
      <c r="B79" s="212"/>
      <c r="C79" s="212"/>
      <c r="D79" s="212"/>
      <c r="E79" s="212"/>
      <c r="F79" s="212"/>
      <c r="G79" s="46">
        <v>70</v>
      </c>
      <c r="H79" s="54">
        <v>0</v>
      </c>
      <c r="I79" s="54">
        <f t="shared" si="24"/>
        <v>0</v>
      </c>
      <c r="J79" s="54">
        <v>0</v>
      </c>
      <c r="K79" s="54">
        <f t="shared" si="25"/>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4729248</v>
      </c>
      <c r="I85" s="55">
        <f>I86+I87</f>
        <v>-917651</v>
      </c>
      <c r="J85" s="55">
        <f>J86+J87</f>
        <v>5479528</v>
      </c>
      <c r="K85" s="55">
        <f>K86+K87</f>
        <v>-683800</v>
      </c>
    </row>
    <row r="86" spans="1:11" ht="12.75" customHeight="1" x14ac:dyDescent="0.2">
      <c r="A86" s="203" t="s">
        <v>157</v>
      </c>
      <c r="B86" s="203"/>
      <c r="C86" s="203"/>
      <c r="D86" s="203"/>
      <c r="E86" s="203"/>
      <c r="F86" s="203"/>
      <c r="G86" s="11">
        <v>76</v>
      </c>
      <c r="H86" s="56">
        <v>4725982</v>
      </c>
      <c r="I86" s="56">
        <f>+H86-5656628</f>
        <v>-930646</v>
      </c>
      <c r="J86" s="56">
        <f>+J67-J87</f>
        <v>5476603</v>
      </c>
      <c r="K86" s="56">
        <f>+J86-6146983</f>
        <v>-670380</v>
      </c>
    </row>
    <row r="87" spans="1:11" ht="12.75" customHeight="1" x14ac:dyDescent="0.2">
      <c r="A87" s="203" t="s">
        <v>158</v>
      </c>
      <c r="B87" s="203"/>
      <c r="C87" s="203"/>
      <c r="D87" s="203"/>
      <c r="E87" s="203"/>
      <c r="F87" s="203"/>
      <c r="G87" s="11">
        <v>77</v>
      </c>
      <c r="H87" s="56">
        <v>3266</v>
      </c>
      <c r="I87" s="56">
        <f>+H87+9729</f>
        <v>12995</v>
      </c>
      <c r="J87" s="56">
        <v>2925</v>
      </c>
      <c r="K87" s="56">
        <f>+J87-16345</f>
        <v>-13420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f>+H66</f>
        <v>4729248</v>
      </c>
      <c r="I89" s="56">
        <f>+I66</f>
        <v>-917651</v>
      </c>
      <c r="J89" s="56">
        <f>+J85</f>
        <v>5479528</v>
      </c>
      <c r="K89" s="56">
        <f>+J89-6163328</f>
        <v>-683800</v>
      </c>
    </row>
    <row r="90" spans="1:11" ht="24" customHeight="1" x14ac:dyDescent="0.2">
      <c r="A90" s="184" t="s">
        <v>437</v>
      </c>
      <c r="B90" s="184"/>
      <c r="C90" s="184"/>
      <c r="D90" s="184"/>
      <c r="E90" s="184"/>
      <c r="F90" s="184"/>
      <c r="G90" s="12">
        <v>79</v>
      </c>
      <c r="H90" s="73">
        <f>H91+H98</f>
        <v>-8251</v>
      </c>
      <c r="I90" s="73">
        <f>I91+I98</f>
        <v>-8251</v>
      </c>
      <c r="J90" s="73">
        <f t="shared" ref="J90:K90" si="26">J91+J98</f>
        <v>4434</v>
      </c>
      <c r="K90" s="73">
        <f t="shared" si="26"/>
        <v>4434</v>
      </c>
    </row>
    <row r="91" spans="1:11" ht="24" customHeight="1" x14ac:dyDescent="0.2">
      <c r="A91" s="204" t="s">
        <v>444</v>
      </c>
      <c r="B91" s="204"/>
      <c r="C91" s="204"/>
      <c r="D91" s="204"/>
      <c r="E91" s="204"/>
      <c r="F91" s="204"/>
      <c r="G91" s="12">
        <v>80</v>
      </c>
      <c r="H91" s="73">
        <f>SUM(H92:H96)</f>
        <v>0</v>
      </c>
      <c r="I91" s="73">
        <f>SUM(I92:I96)</f>
        <v>0</v>
      </c>
      <c r="J91" s="73">
        <f t="shared" ref="J91:K91" si="27">SUM(J92:J96)</f>
        <v>0</v>
      </c>
      <c r="K91" s="73">
        <f t="shared" si="27"/>
        <v>0</v>
      </c>
    </row>
    <row r="92" spans="1:11" ht="25.5" customHeight="1" x14ac:dyDescent="0.2">
      <c r="A92" s="206" t="s">
        <v>382</v>
      </c>
      <c r="B92" s="206"/>
      <c r="C92" s="206"/>
      <c r="D92" s="206"/>
      <c r="E92" s="206"/>
      <c r="F92" s="206"/>
      <c r="G92" s="12">
        <v>81</v>
      </c>
      <c r="H92" s="56">
        <v>0</v>
      </c>
      <c r="I92" s="56">
        <f t="shared" ref="I92:I97" si="28">+H92-0</f>
        <v>0</v>
      </c>
      <c r="J92" s="56">
        <v>0</v>
      </c>
      <c r="K92" s="56">
        <f t="shared" ref="K92:K97" si="29">+J92-0</f>
        <v>0</v>
      </c>
    </row>
    <row r="93" spans="1:11" ht="38.25" customHeight="1" x14ac:dyDescent="0.2">
      <c r="A93" s="206" t="s">
        <v>383</v>
      </c>
      <c r="B93" s="206"/>
      <c r="C93" s="206"/>
      <c r="D93" s="206"/>
      <c r="E93" s="206"/>
      <c r="F93" s="206"/>
      <c r="G93" s="12">
        <v>82</v>
      </c>
      <c r="H93" s="56">
        <v>0</v>
      </c>
      <c r="I93" s="56">
        <f t="shared" si="28"/>
        <v>0</v>
      </c>
      <c r="J93" s="56">
        <v>0</v>
      </c>
      <c r="K93" s="56">
        <f t="shared" si="29"/>
        <v>0</v>
      </c>
    </row>
    <row r="94" spans="1:11" ht="38.25" customHeight="1" x14ac:dyDescent="0.2">
      <c r="A94" s="206" t="s">
        <v>384</v>
      </c>
      <c r="B94" s="206"/>
      <c r="C94" s="206"/>
      <c r="D94" s="206"/>
      <c r="E94" s="206"/>
      <c r="F94" s="206"/>
      <c r="G94" s="12">
        <v>83</v>
      </c>
      <c r="H94" s="56">
        <v>0</v>
      </c>
      <c r="I94" s="56">
        <f t="shared" si="28"/>
        <v>0</v>
      </c>
      <c r="J94" s="56">
        <v>0</v>
      </c>
      <c r="K94" s="56">
        <f t="shared" si="29"/>
        <v>0</v>
      </c>
    </row>
    <row r="95" spans="1:11" x14ac:dyDescent="0.2">
      <c r="A95" s="206" t="s">
        <v>385</v>
      </c>
      <c r="B95" s="206"/>
      <c r="C95" s="206"/>
      <c r="D95" s="206"/>
      <c r="E95" s="206"/>
      <c r="F95" s="206"/>
      <c r="G95" s="12">
        <v>84</v>
      </c>
      <c r="H95" s="56">
        <v>0</v>
      </c>
      <c r="I95" s="56">
        <f t="shared" si="28"/>
        <v>0</v>
      </c>
      <c r="J95" s="56">
        <v>0</v>
      </c>
      <c r="K95" s="56">
        <f t="shared" si="29"/>
        <v>0</v>
      </c>
    </row>
    <row r="96" spans="1:11" x14ac:dyDescent="0.2">
      <c r="A96" s="206" t="s">
        <v>386</v>
      </c>
      <c r="B96" s="206"/>
      <c r="C96" s="206"/>
      <c r="D96" s="206"/>
      <c r="E96" s="206"/>
      <c r="F96" s="206"/>
      <c r="G96" s="12">
        <v>85</v>
      </c>
      <c r="H96" s="56">
        <v>0</v>
      </c>
      <c r="I96" s="56">
        <f t="shared" si="28"/>
        <v>0</v>
      </c>
      <c r="J96" s="56">
        <v>0</v>
      </c>
      <c r="K96" s="56">
        <f t="shared" si="29"/>
        <v>0</v>
      </c>
    </row>
    <row r="97" spans="1:11" ht="26.25" customHeight="1" x14ac:dyDescent="0.2">
      <c r="A97" s="206" t="s">
        <v>387</v>
      </c>
      <c r="B97" s="206"/>
      <c r="C97" s="206"/>
      <c r="D97" s="206"/>
      <c r="E97" s="206"/>
      <c r="F97" s="206"/>
      <c r="G97" s="12">
        <v>86</v>
      </c>
      <c r="H97" s="56">
        <v>0</v>
      </c>
      <c r="I97" s="56">
        <f t="shared" si="28"/>
        <v>0</v>
      </c>
      <c r="J97" s="56">
        <v>0</v>
      </c>
      <c r="K97" s="56">
        <f t="shared" si="29"/>
        <v>0</v>
      </c>
    </row>
    <row r="98" spans="1:11" ht="25.5" customHeight="1" x14ac:dyDescent="0.2">
      <c r="A98" s="204" t="s">
        <v>438</v>
      </c>
      <c r="B98" s="204"/>
      <c r="C98" s="204"/>
      <c r="D98" s="204"/>
      <c r="E98" s="204"/>
      <c r="F98" s="204"/>
      <c r="G98" s="12">
        <v>87</v>
      </c>
      <c r="H98" s="73">
        <f>SUM(H99:H106)</f>
        <v>-8251</v>
      </c>
      <c r="I98" s="73">
        <f>SUM(I99:I106)</f>
        <v>-8251</v>
      </c>
      <c r="J98" s="73">
        <f t="shared" ref="J98:K98" si="30">SUM(J99:J106)</f>
        <v>4434</v>
      </c>
      <c r="K98" s="73">
        <f t="shared" si="30"/>
        <v>4434</v>
      </c>
    </row>
    <row r="99" spans="1:11" x14ac:dyDescent="0.2">
      <c r="A99" s="205" t="s">
        <v>160</v>
      </c>
      <c r="B99" s="205"/>
      <c r="C99" s="205"/>
      <c r="D99" s="205"/>
      <c r="E99" s="205"/>
      <c r="F99" s="205"/>
      <c r="G99" s="11">
        <v>88</v>
      </c>
      <c r="H99" s="56">
        <v>0</v>
      </c>
      <c r="I99" s="56">
        <f t="shared" ref="I99:I107" si="31">+H99-0</f>
        <v>0</v>
      </c>
      <c r="J99" s="56">
        <v>0</v>
      </c>
      <c r="K99" s="56">
        <f t="shared" ref="K99:K107" si="32">+J99-0</f>
        <v>0</v>
      </c>
    </row>
    <row r="100" spans="1:11" ht="36" customHeight="1" x14ac:dyDescent="0.2">
      <c r="A100" s="206" t="s">
        <v>388</v>
      </c>
      <c r="B100" s="206"/>
      <c r="C100" s="206"/>
      <c r="D100" s="206"/>
      <c r="E100" s="206"/>
      <c r="F100" s="206"/>
      <c r="G100" s="11">
        <v>89</v>
      </c>
      <c r="H100" s="56">
        <v>2499</v>
      </c>
      <c r="I100" s="56">
        <f t="shared" si="31"/>
        <v>2499</v>
      </c>
      <c r="J100" s="56">
        <v>1934</v>
      </c>
      <c r="K100" s="56">
        <f t="shared" si="32"/>
        <v>1934</v>
      </c>
    </row>
    <row r="101" spans="1:11" ht="22.15" customHeight="1" x14ac:dyDescent="0.2">
      <c r="A101" s="205" t="s">
        <v>161</v>
      </c>
      <c r="B101" s="205"/>
      <c r="C101" s="205"/>
      <c r="D101" s="205"/>
      <c r="E101" s="205"/>
      <c r="F101" s="205"/>
      <c r="G101" s="11">
        <v>90</v>
      </c>
      <c r="H101" s="56">
        <v>0</v>
      </c>
      <c r="I101" s="56">
        <f t="shared" si="31"/>
        <v>0</v>
      </c>
      <c r="J101" s="56">
        <v>0</v>
      </c>
      <c r="K101" s="56">
        <f t="shared" si="32"/>
        <v>0</v>
      </c>
    </row>
    <row r="102" spans="1:11" ht="22.15" customHeight="1" x14ac:dyDescent="0.2">
      <c r="A102" s="205" t="s">
        <v>162</v>
      </c>
      <c r="B102" s="205"/>
      <c r="C102" s="205"/>
      <c r="D102" s="205"/>
      <c r="E102" s="205"/>
      <c r="F102" s="205"/>
      <c r="G102" s="11">
        <v>91</v>
      </c>
      <c r="H102" s="56">
        <v>0</v>
      </c>
      <c r="I102" s="56">
        <f t="shared" si="31"/>
        <v>0</v>
      </c>
      <c r="J102" s="56">
        <v>0</v>
      </c>
      <c r="K102" s="56">
        <f t="shared" si="32"/>
        <v>0</v>
      </c>
    </row>
    <row r="103" spans="1:11" ht="22.15" customHeight="1" x14ac:dyDescent="0.2">
      <c r="A103" s="205" t="s">
        <v>163</v>
      </c>
      <c r="B103" s="205"/>
      <c r="C103" s="205"/>
      <c r="D103" s="205"/>
      <c r="E103" s="205"/>
      <c r="F103" s="205"/>
      <c r="G103" s="11">
        <v>92</v>
      </c>
      <c r="H103" s="56">
        <v>0</v>
      </c>
      <c r="I103" s="56">
        <f t="shared" si="31"/>
        <v>0</v>
      </c>
      <c r="J103" s="56">
        <v>0</v>
      </c>
      <c r="K103" s="56">
        <f t="shared" si="32"/>
        <v>0</v>
      </c>
    </row>
    <row r="104" spans="1:11" ht="12.75" customHeight="1" x14ac:dyDescent="0.2">
      <c r="A104" s="206" t="s">
        <v>389</v>
      </c>
      <c r="B104" s="206"/>
      <c r="C104" s="206"/>
      <c r="D104" s="206"/>
      <c r="E104" s="206"/>
      <c r="F104" s="206"/>
      <c r="G104" s="11">
        <v>93</v>
      </c>
      <c r="H104" s="56">
        <v>0</v>
      </c>
      <c r="I104" s="56">
        <f t="shared" si="31"/>
        <v>0</v>
      </c>
      <c r="J104" s="56">
        <v>0</v>
      </c>
      <c r="K104" s="56">
        <f t="shared" si="32"/>
        <v>0</v>
      </c>
    </row>
    <row r="105" spans="1:11" ht="26.25" customHeight="1" x14ac:dyDescent="0.2">
      <c r="A105" s="206" t="s">
        <v>390</v>
      </c>
      <c r="B105" s="206"/>
      <c r="C105" s="206"/>
      <c r="D105" s="206"/>
      <c r="E105" s="206"/>
      <c r="F105" s="206"/>
      <c r="G105" s="11">
        <v>94</v>
      </c>
      <c r="H105" s="56">
        <v>0</v>
      </c>
      <c r="I105" s="56">
        <f t="shared" si="31"/>
        <v>0</v>
      </c>
      <c r="J105" s="56">
        <v>0</v>
      </c>
      <c r="K105" s="56">
        <f t="shared" si="32"/>
        <v>0</v>
      </c>
    </row>
    <row r="106" spans="1:11" x14ac:dyDescent="0.2">
      <c r="A106" s="206" t="s">
        <v>391</v>
      </c>
      <c r="B106" s="206"/>
      <c r="C106" s="206"/>
      <c r="D106" s="206"/>
      <c r="E106" s="206"/>
      <c r="F106" s="206"/>
      <c r="G106" s="11">
        <v>95</v>
      </c>
      <c r="H106" s="56">
        <v>-10750</v>
      </c>
      <c r="I106" s="56">
        <f t="shared" si="31"/>
        <v>-10750</v>
      </c>
      <c r="J106" s="56">
        <v>2500</v>
      </c>
      <c r="K106" s="56">
        <f t="shared" si="32"/>
        <v>2500</v>
      </c>
    </row>
    <row r="107" spans="1:11" ht="24.75" customHeight="1" x14ac:dyDescent="0.2">
      <c r="A107" s="206" t="s">
        <v>392</v>
      </c>
      <c r="B107" s="206"/>
      <c r="C107" s="206"/>
      <c r="D107" s="206"/>
      <c r="E107" s="206"/>
      <c r="F107" s="206"/>
      <c r="G107" s="11">
        <v>96</v>
      </c>
      <c r="H107" s="56">
        <v>450</v>
      </c>
      <c r="I107" s="56">
        <f t="shared" si="31"/>
        <v>450</v>
      </c>
      <c r="J107" s="56">
        <v>347</v>
      </c>
      <c r="K107" s="56">
        <f t="shared" si="32"/>
        <v>347</v>
      </c>
    </row>
    <row r="108" spans="1:11" ht="22.9" customHeight="1" x14ac:dyDescent="0.2">
      <c r="A108" s="184" t="s">
        <v>439</v>
      </c>
      <c r="B108" s="184"/>
      <c r="C108" s="184"/>
      <c r="D108" s="184"/>
      <c r="E108" s="184"/>
      <c r="F108" s="184"/>
      <c r="G108" s="12">
        <v>97</v>
      </c>
      <c r="H108" s="73">
        <f>H91+H98-H107-H97</f>
        <v>-8701</v>
      </c>
      <c r="I108" s="73">
        <f>I91+I98-I107-I97</f>
        <v>-8701</v>
      </c>
      <c r="J108" s="73">
        <f t="shared" ref="J108:K108" si="33">J91+J98-J107-J97</f>
        <v>4087</v>
      </c>
      <c r="K108" s="73">
        <f t="shared" si="33"/>
        <v>4087</v>
      </c>
    </row>
    <row r="109" spans="1:11" ht="12.75" customHeight="1" x14ac:dyDescent="0.2">
      <c r="A109" s="184" t="s">
        <v>393</v>
      </c>
      <c r="B109" s="184"/>
      <c r="C109" s="184"/>
      <c r="D109" s="184"/>
      <c r="E109" s="184"/>
      <c r="F109" s="184"/>
      <c r="G109" s="12">
        <v>98</v>
      </c>
      <c r="H109" s="55">
        <f>H89+H108</f>
        <v>4720547</v>
      </c>
      <c r="I109" s="55">
        <f>I89+I108</f>
        <v>-926352</v>
      </c>
      <c r="J109" s="55">
        <f t="shared" ref="J109:K109" si="34">J89+J108</f>
        <v>5483615</v>
      </c>
      <c r="K109" s="55">
        <f t="shared" si="34"/>
        <v>-679713</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4720547</v>
      </c>
      <c r="I111" s="55">
        <f>I112+I113</f>
        <v>-926352</v>
      </c>
      <c r="J111" s="55">
        <f>J112+J113</f>
        <v>5483615</v>
      </c>
      <c r="K111" s="55">
        <f>K112+K113</f>
        <v>-679713</v>
      </c>
    </row>
    <row r="112" spans="1:11" ht="12.75" customHeight="1" x14ac:dyDescent="0.2">
      <c r="A112" s="203" t="s">
        <v>113</v>
      </c>
      <c r="B112" s="203"/>
      <c r="C112" s="203"/>
      <c r="D112" s="203"/>
      <c r="E112" s="203"/>
      <c r="F112" s="203"/>
      <c r="G112" s="11">
        <v>100</v>
      </c>
      <c r="H112" s="56">
        <v>4717281</v>
      </c>
      <c r="I112" s="56">
        <f>+H112-5656628</f>
        <v>-939347</v>
      </c>
      <c r="J112" s="56">
        <f>+J86+4087</f>
        <v>5480690</v>
      </c>
      <c r="K112" s="56">
        <f>+J112-6146983</f>
        <v>-666293</v>
      </c>
    </row>
    <row r="113" spans="1:11" ht="12.75" customHeight="1" x14ac:dyDescent="0.2">
      <c r="A113" s="203" t="s">
        <v>165</v>
      </c>
      <c r="B113" s="203"/>
      <c r="C113" s="203"/>
      <c r="D113" s="203"/>
      <c r="E113" s="203"/>
      <c r="F113" s="203"/>
      <c r="G113" s="11">
        <v>101</v>
      </c>
      <c r="H113" s="56">
        <v>3266</v>
      </c>
      <c r="I113" s="56">
        <f>+H113+9729</f>
        <v>12995</v>
      </c>
      <c r="J113" s="56">
        <v>2925</v>
      </c>
      <c r="K113" s="56">
        <f>+J113-16345</f>
        <v>-13420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0" zoomScale="80" zoomScaleNormal="100" zoomScaleSheetLayoutView="80" workbookViewId="0">
      <selection activeCell="H44" sqref="H44: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470</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467</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5786995</v>
      </c>
      <c r="I8" s="68">
        <v>6682351</v>
      </c>
    </row>
    <row r="9" spans="1:9" ht="12.75" customHeight="1" x14ac:dyDescent="0.2">
      <c r="A9" s="237" t="s">
        <v>171</v>
      </c>
      <c r="B9" s="237"/>
      <c r="C9" s="237"/>
      <c r="D9" s="237"/>
      <c r="E9" s="237"/>
      <c r="F9" s="237"/>
      <c r="G9" s="69">
        <v>2</v>
      </c>
      <c r="H9" s="70">
        <f>H10+H11+H12+H13+H14+H15+H16+H17</f>
        <v>15726963</v>
      </c>
      <c r="I9" s="70">
        <f>I10+I11+I12+I13+I14+I15+I16+I17</f>
        <v>9355757</v>
      </c>
    </row>
    <row r="10" spans="1:9" ht="12.75" customHeight="1" x14ac:dyDescent="0.2">
      <c r="A10" s="216" t="s">
        <v>172</v>
      </c>
      <c r="B10" s="216"/>
      <c r="C10" s="216"/>
      <c r="D10" s="216"/>
      <c r="E10" s="216"/>
      <c r="F10" s="216"/>
      <c r="G10" s="67">
        <v>3</v>
      </c>
      <c r="H10" s="68">
        <v>6496916</v>
      </c>
      <c r="I10" s="68">
        <v>6798161</v>
      </c>
    </row>
    <row r="11" spans="1:9" ht="22.15" customHeight="1" x14ac:dyDescent="0.2">
      <c r="A11" s="216" t="s">
        <v>173</v>
      </c>
      <c r="B11" s="216"/>
      <c r="C11" s="216"/>
      <c r="D11" s="216"/>
      <c r="E11" s="216"/>
      <c r="F11" s="216"/>
      <c r="G11" s="67">
        <v>4</v>
      </c>
      <c r="H11" s="68">
        <v>-6855</v>
      </c>
      <c r="I11" s="68">
        <v>-7053</v>
      </c>
    </row>
    <row r="12" spans="1:9" ht="23.45" customHeight="1" x14ac:dyDescent="0.2">
      <c r="A12" s="216" t="s">
        <v>174</v>
      </c>
      <c r="B12" s="216"/>
      <c r="C12" s="216"/>
      <c r="D12" s="216"/>
      <c r="E12" s="216"/>
      <c r="F12" s="216"/>
      <c r="G12" s="67">
        <v>5</v>
      </c>
      <c r="H12" s="68">
        <v>-2369</v>
      </c>
      <c r="I12" s="68">
        <v>50000</v>
      </c>
    </row>
    <row r="13" spans="1:9" ht="12.75" customHeight="1" x14ac:dyDescent="0.2">
      <c r="A13" s="216" t="s">
        <v>175</v>
      </c>
      <c r="B13" s="216"/>
      <c r="C13" s="216"/>
      <c r="D13" s="216"/>
      <c r="E13" s="216"/>
      <c r="F13" s="216"/>
      <c r="G13" s="67">
        <v>6</v>
      </c>
      <c r="H13" s="68">
        <v>-95985</v>
      </c>
      <c r="I13" s="68">
        <v>-141708</v>
      </c>
    </row>
    <row r="14" spans="1:9" ht="12.75" customHeight="1" x14ac:dyDescent="0.2">
      <c r="A14" s="216" t="s">
        <v>176</v>
      </c>
      <c r="B14" s="216"/>
      <c r="C14" s="216"/>
      <c r="D14" s="216"/>
      <c r="E14" s="216"/>
      <c r="F14" s="216"/>
      <c r="G14" s="67">
        <v>7</v>
      </c>
      <c r="H14" s="68">
        <v>48532</v>
      </c>
      <c r="I14" s="68">
        <v>26339</v>
      </c>
    </row>
    <row r="15" spans="1:9" ht="12.75" customHeight="1" x14ac:dyDescent="0.2">
      <c r="A15" s="216" t="s">
        <v>177</v>
      </c>
      <c r="B15" s="216"/>
      <c r="C15" s="216"/>
      <c r="D15" s="216"/>
      <c r="E15" s="216"/>
      <c r="F15" s="216"/>
      <c r="G15" s="67">
        <v>8</v>
      </c>
      <c r="H15" s="68">
        <v>295654</v>
      </c>
      <c r="I15" s="68">
        <v>344464</v>
      </c>
    </row>
    <row r="16" spans="1:9" ht="12.75" customHeight="1" x14ac:dyDescent="0.2">
      <c r="A16" s="216" t="s">
        <v>178</v>
      </c>
      <c r="B16" s="216"/>
      <c r="C16" s="216"/>
      <c r="D16" s="216"/>
      <c r="E16" s="216"/>
      <c r="F16" s="216"/>
      <c r="G16" s="67">
        <v>9</v>
      </c>
      <c r="H16" s="68">
        <v>-394986</v>
      </c>
      <c r="I16" s="68">
        <v>399869</v>
      </c>
    </row>
    <row r="17" spans="1:9" ht="25.15" customHeight="1" x14ac:dyDescent="0.2">
      <c r="A17" s="216" t="s">
        <v>179</v>
      </c>
      <c r="B17" s="216"/>
      <c r="C17" s="216"/>
      <c r="D17" s="216"/>
      <c r="E17" s="216"/>
      <c r="F17" s="216"/>
      <c r="G17" s="67">
        <v>10</v>
      </c>
      <c r="H17" s="68">
        <v>9386056</v>
      </c>
      <c r="I17" s="68">
        <v>1885685</v>
      </c>
    </row>
    <row r="18" spans="1:9" ht="28.15" customHeight="1" x14ac:dyDescent="0.2">
      <c r="A18" s="233" t="s">
        <v>306</v>
      </c>
      <c r="B18" s="233"/>
      <c r="C18" s="233"/>
      <c r="D18" s="233"/>
      <c r="E18" s="233"/>
      <c r="F18" s="233"/>
      <c r="G18" s="69">
        <v>11</v>
      </c>
      <c r="H18" s="70">
        <f>H8+H9</f>
        <v>21513958</v>
      </c>
      <c r="I18" s="70">
        <f>I8+I9</f>
        <v>16038108</v>
      </c>
    </row>
    <row r="19" spans="1:9" ht="12.75" customHeight="1" x14ac:dyDescent="0.2">
      <c r="A19" s="237" t="s">
        <v>180</v>
      </c>
      <c r="B19" s="237"/>
      <c r="C19" s="237"/>
      <c r="D19" s="237"/>
      <c r="E19" s="237"/>
      <c r="F19" s="237"/>
      <c r="G19" s="69">
        <v>12</v>
      </c>
      <c r="H19" s="70">
        <f>H20+H21+H22+H23</f>
        <v>-5348813</v>
      </c>
      <c r="I19" s="70">
        <f>I20+I21+I22+I23</f>
        <v>908684</v>
      </c>
    </row>
    <row r="20" spans="1:9" ht="12.75" customHeight="1" x14ac:dyDescent="0.2">
      <c r="A20" s="216" t="s">
        <v>181</v>
      </c>
      <c r="B20" s="216"/>
      <c r="C20" s="216"/>
      <c r="D20" s="216"/>
      <c r="E20" s="216"/>
      <c r="F20" s="216"/>
      <c r="G20" s="67">
        <v>13</v>
      </c>
      <c r="H20" s="68">
        <v>-4038784</v>
      </c>
      <c r="I20" s="68">
        <v>1055057</v>
      </c>
    </row>
    <row r="21" spans="1:9" ht="12.75" customHeight="1" x14ac:dyDescent="0.2">
      <c r="A21" s="216" t="s">
        <v>182</v>
      </c>
      <c r="B21" s="216"/>
      <c r="C21" s="216"/>
      <c r="D21" s="216"/>
      <c r="E21" s="216"/>
      <c r="F21" s="216"/>
      <c r="G21" s="67">
        <v>14</v>
      </c>
      <c r="H21" s="68">
        <v>-1074224</v>
      </c>
      <c r="I21" s="68">
        <v>-1867779</v>
      </c>
    </row>
    <row r="22" spans="1:9" ht="12.75" customHeight="1" x14ac:dyDescent="0.2">
      <c r="A22" s="216" t="s">
        <v>183</v>
      </c>
      <c r="B22" s="216"/>
      <c r="C22" s="216"/>
      <c r="D22" s="216"/>
      <c r="E22" s="216"/>
      <c r="F22" s="216"/>
      <c r="G22" s="67">
        <v>15</v>
      </c>
      <c r="H22" s="68">
        <v>-235805</v>
      </c>
      <c r="I22" s="68">
        <v>1721406</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16165145</v>
      </c>
      <c r="I24" s="70">
        <f>I18+I19</f>
        <v>16946792</v>
      </c>
    </row>
    <row r="25" spans="1:9" ht="12.75" customHeight="1" x14ac:dyDescent="0.2">
      <c r="A25" s="182" t="s">
        <v>186</v>
      </c>
      <c r="B25" s="182"/>
      <c r="C25" s="182"/>
      <c r="D25" s="182"/>
      <c r="E25" s="182"/>
      <c r="F25" s="182"/>
      <c r="G25" s="67">
        <v>18</v>
      </c>
      <c r="H25" s="68">
        <v>-72532</v>
      </c>
      <c r="I25" s="68">
        <v>-23747</v>
      </c>
    </row>
    <row r="26" spans="1:9" ht="12.75" customHeight="1" x14ac:dyDescent="0.2">
      <c r="A26" s="182" t="s">
        <v>187</v>
      </c>
      <c r="B26" s="182"/>
      <c r="C26" s="182"/>
      <c r="D26" s="182"/>
      <c r="E26" s="182"/>
      <c r="F26" s="182"/>
      <c r="G26" s="67">
        <v>19</v>
      </c>
      <c r="H26" s="68">
        <v>-3045877</v>
      </c>
      <c r="I26" s="68">
        <v>-1114211</v>
      </c>
    </row>
    <row r="27" spans="1:9" ht="25.9" customHeight="1" x14ac:dyDescent="0.2">
      <c r="A27" s="234" t="s">
        <v>188</v>
      </c>
      <c r="B27" s="234"/>
      <c r="C27" s="234"/>
      <c r="D27" s="234"/>
      <c r="E27" s="234"/>
      <c r="F27" s="234"/>
      <c r="G27" s="69">
        <v>20</v>
      </c>
      <c r="H27" s="70">
        <f>H24+H25+H26</f>
        <v>13046736</v>
      </c>
      <c r="I27" s="70">
        <f>I24+I25+I26</f>
        <v>15808834</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6855</v>
      </c>
      <c r="I29" s="71">
        <v>7053</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744</v>
      </c>
      <c r="I32" s="71">
        <v>818</v>
      </c>
    </row>
    <row r="33" spans="1:9" ht="12.75" customHeight="1" x14ac:dyDescent="0.2">
      <c r="A33" s="182" t="s">
        <v>194</v>
      </c>
      <c r="B33" s="182"/>
      <c r="C33" s="182"/>
      <c r="D33" s="182"/>
      <c r="E33" s="182"/>
      <c r="F33" s="182"/>
      <c r="G33" s="67">
        <v>25</v>
      </c>
      <c r="H33" s="71">
        <v>21600</v>
      </c>
      <c r="I33" s="71">
        <v>143400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29199</v>
      </c>
      <c r="I35" s="72">
        <f>I29+I30+I31+I32+I33+I34</f>
        <v>151271</v>
      </c>
    </row>
    <row r="36" spans="1:9" ht="22.9" customHeight="1" x14ac:dyDescent="0.2">
      <c r="A36" s="182" t="s">
        <v>197</v>
      </c>
      <c r="B36" s="182"/>
      <c r="C36" s="182"/>
      <c r="D36" s="182"/>
      <c r="E36" s="182"/>
      <c r="F36" s="182"/>
      <c r="G36" s="67">
        <v>28</v>
      </c>
      <c r="H36" s="71">
        <v>-15711532</v>
      </c>
      <c r="I36" s="71">
        <v>-17940768</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-108400</v>
      </c>
      <c r="I38" s="71">
        <v>-143400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-49424</v>
      </c>
      <c r="I40" s="71">
        <v>0</v>
      </c>
    </row>
    <row r="41" spans="1:9" ht="24" customHeight="1" x14ac:dyDescent="0.2">
      <c r="A41" s="233" t="s">
        <v>202</v>
      </c>
      <c r="B41" s="233"/>
      <c r="C41" s="233"/>
      <c r="D41" s="233"/>
      <c r="E41" s="233"/>
      <c r="F41" s="233"/>
      <c r="G41" s="69">
        <v>33</v>
      </c>
      <c r="H41" s="72">
        <f>H36+H37+H38+H39+H40</f>
        <v>-15869356</v>
      </c>
      <c r="I41" s="72">
        <f>I36+I37+I38+I39+I40</f>
        <v>-18084168</v>
      </c>
    </row>
    <row r="42" spans="1:9" ht="29.45" customHeight="1" x14ac:dyDescent="0.2">
      <c r="A42" s="234" t="s">
        <v>203</v>
      </c>
      <c r="B42" s="234"/>
      <c r="C42" s="234"/>
      <c r="D42" s="234"/>
      <c r="E42" s="234"/>
      <c r="F42" s="234"/>
      <c r="G42" s="69">
        <v>34</v>
      </c>
      <c r="H42" s="72">
        <f>H35+H41</f>
        <v>-15840157</v>
      </c>
      <c r="I42" s="72">
        <f>I35+I41</f>
        <v>-17932897</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13984</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13984</v>
      </c>
      <c r="I48" s="72">
        <f>I44+I45+I46+I47</f>
        <v>0</v>
      </c>
    </row>
    <row r="49" spans="1:9" ht="24.6" customHeight="1" x14ac:dyDescent="0.2">
      <c r="A49" s="182" t="s">
        <v>305</v>
      </c>
      <c r="B49" s="182"/>
      <c r="C49" s="182"/>
      <c r="D49" s="182"/>
      <c r="E49" s="182"/>
      <c r="F49" s="182"/>
      <c r="G49" s="67">
        <v>40</v>
      </c>
      <c r="H49" s="71">
        <v>-1323009</v>
      </c>
      <c r="I49" s="71">
        <v>-228135</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-1323009</v>
      </c>
      <c r="I54" s="72">
        <f>I49+I50+I51+I52+I53</f>
        <v>-228135</v>
      </c>
    </row>
    <row r="55" spans="1:9" ht="29.45" customHeight="1" x14ac:dyDescent="0.2">
      <c r="A55" s="234" t="s">
        <v>215</v>
      </c>
      <c r="B55" s="234"/>
      <c r="C55" s="234"/>
      <c r="D55" s="234"/>
      <c r="E55" s="234"/>
      <c r="F55" s="234"/>
      <c r="G55" s="69">
        <v>46</v>
      </c>
      <c r="H55" s="72">
        <f>H48+H54</f>
        <v>-1309025</v>
      </c>
      <c r="I55" s="72">
        <f>I48+I54</f>
        <v>-228135</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-4102446</v>
      </c>
      <c r="I57" s="72">
        <f>I27+I42+I55+I56</f>
        <v>-2352198</v>
      </c>
    </row>
    <row r="58" spans="1:9" x14ac:dyDescent="0.2">
      <c r="A58" s="236" t="s">
        <v>218</v>
      </c>
      <c r="B58" s="236"/>
      <c r="C58" s="236"/>
      <c r="D58" s="236"/>
      <c r="E58" s="236"/>
      <c r="F58" s="236"/>
      <c r="G58" s="67">
        <v>49</v>
      </c>
      <c r="H58" s="71">
        <v>17455565</v>
      </c>
      <c r="I58" s="71">
        <v>13353119</v>
      </c>
    </row>
    <row r="59" spans="1:9" ht="31.15" customHeight="1" x14ac:dyDescent="0.2">
      <c r="A59" s="234" t="s">
        <v>219</v>
      </c>
      <c r="B59" s="234"/>
      <c r="C59" s="234"/>
      <c r="D59" s="234"/>
      <c r="E59" s="234"/>
      <c r="F59" s="234"/>
      <c r="G59" s="69">
        <v>50</v>
      </c>
      <c r="H59" s="72">
        <f>H57+H58</f>
        <v>13353119</v>
      </c>
      <c r="I59" s="72">
        <f>I57+I58</f>
        <v>11000921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O33" zoomScale="90" zoomScaleNormal="100" zoomScaleSheetLayoutView="90" workbookViewId="0">
      <selection activeCell="Z59" sqref="Z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45565</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22315014</v>
      </c>
      <c r="I7" s="33">
        <v>0</v>
      </c>
      <c r="J7" s="33">
        <v>1115751</v>
      </c>
      <c r="K7" s="33">
        <v>1664344</v>
      </c>
      <c r="L7" s="33">
        <v>1069185</v>
      </c>
      <c r="M7" s="33">
        <v>0</v>
      </c>
      <c r="N7" s="33">
        <v>15808332</v>
      </c>
      <c r="O7" s="33">
        <v>0</v>
      </c>
      <c r="P7" s="33">
        <v>0</v>
      </c>
      <c r="Q7" s="33">
        <v>0</v>
      </c>
      <c r="R7" s="33">
        <v>0</v>
      </c>
      <c r="S7" s="33">
        <v>0</v>
      </c>
      <c r="T7" s="33">
        <v>0</v>
      </c>
      <c r="U7" s="33">
        <v>0</v>
      </c>
      <c r="V7" s="33">
        <v>5451101</v>
      </c>
      <c r="W7" s="34">
        <f>H7+I7+J7+K7-L7+M7+N7+O7+P7+Q7+R7+U7+V7+S7+T7</f>
        <v>45285357</v>
      </c>
      <c r="X7" s="33">
        <v>2788</v>
      </c>
      <c r="Y7" s="34">
        <f>W7+X7</f>
        <v>45288145</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22315014</v>
      </c>
      <c r="I10" s="34">
        <f t="shared" ref="I10:Y10" si="2">I7+I8+I9</f>
        <v>0</v>
      </c>
      <c r="J10" s="34">
        <f t="shared" si="2"/>
        <v>1115751</v>
      </c>
      <c r="K10" s="34">
        <f>K7+K8+K9</f>
        <v>1664344</v>
      </c>
      <c r="L10" s="34">
        <f t="shared" si="2"/>
        <v>1069185</v>
      </c>
      <c r="M10" s="34">
        <f t="shared" si="2"/>
        <v>0</v>
      </c>
      <c r="N10" s="34">
        <f t="shared" si="2"/>
        <v>15808332</v>
      </c>
      <c r="O10" s="34">
        <f t="shared" si="2"/>
        <v>0</v>
      </c>
      <c r="P10" s="34">
        <f t="shared" si="2"/>
        <v>0</v>
      </c>
      <c r="Q10" s="34">
        <f t="shared" si="2"/>
        <v>0</v>
      </c>
      <c r="R10" s="34">
        <f t="shared" si="2"/>
        <v>0</v>
      </c>
      <c r="S10" s="34">
        <f t="shared" si="2"/>
        <v>0</v>
      </c>
      <c r="T10" s="34">
        <f t="shared" si="2"/>
        <v>0</v>
      </c>
      <c r="U10" s="34">
        <f t="shared" si="2"/>
        <v>0</v>
      </c>
      <c r="V10" s="34">
        <f t="shared" si="2"/>
        <v>5451101</v>
      </c>
      <c r="W10" s="34">
        <f t="shared" si="2"/>
        <v>45285357</v>
      </c>
      <c r="X10" s="34">
        <f t="shared" si="2"/>
        <v>2788</v>
      </c>
      <c r="Y10" s="34">
        <f t="shared" si="2"/>
        <v>45288145</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4729248</v>
      </c>
      <c r="W11" s="34">
        <f t="shared" ref="W11:W29" si="3">H11+I11+J11+K11-L11+M11+N11+O11+P11+Q11+R11+U11+V11+S11+T11</f>
        <v>4729248</v>
      </c>
      <c r="X11" s="33">
        <v>0</v>
      </c>
      <c r="Y11" s="34">
        <f t="shared" ref="Y11:Y29" si="4">W11+X11</f>
        <v>4729248</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-8701</v>
      </c>
      <c r="O19" s="33">
        <v>0</v>
      </c>
      <c r="P19" s="33">
        <v>0</v>
      </c>
      <c r="Q19" s="33">
        <v>0</v>
      </c>
      <c r="R19" s="33">
        <v>0</v>
      </c>
      <c r="S19" s="33">
        <v>0</v>
      </c>
      <c r="T19" s="33">
        <v>0</v>
      </c>
      <c r="U19" s="33">
        <v>0</v>
      </c>
      <c r="V19" s="33">
        <v>0</v>
      </c>
      <c r="W19" s="34">
        <f t="shared" si="3"/>
        <v>-8701</v>
      </c>
      <c r="X19" s="33">
        <v>0</v>
      </c>
      <c r="Y19" s="34">
        <f t="shared" si="4"/>
        <v>-8701</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425</v>
      </c>
      <c r="B28" s="269"/>
      <c r="C28" s="269"/>
      <c r="D28" s="269"/>
      <c r="E28" s="269"/>
      <c r="F28" s="269"/>
      <c r="G28" s="6">
        <v>22</v>
      </c>
      <c r="H28" s="33">
        <v>0</v>
      </c>
      <c r="I28" s="33">
        <v>0</v>
      </c>
      <c r="J28" s="33">
        <v>0</v>
      </c>
      <c r="K28" s="33">
        <v>0</v>
      </c>
      <c r="L28" s="33">
        <v>0</v>
      </c>
      <c r="M28" s="33">
        <v>0</v>
      </c>
      <c r="N28" s="33">
        <v>5423921</v>
      </c>
      <c r="O28" s="33">
        <v>0</v>
      </c>
      <c r="P28" s="33">
        <v>0</v>
      </c>
      <c r="Q28" s="33">
        <v>0</v>
      </c>
      <c r="R28" s="33">
        <v>0</v>
      </c>
      <c r="S28" s="33">
        <v>0</v>
      </c>
      <c r="T28" s="33">
        <v>0</v>
      </c>
      <c r="U28" s="33">
        <v>0</v>
      </c>
      <c r="V28" s="33">
        <v>-5451101</v>
      </c>
      <c r="W28" s="34">
        <f t="shared" si="3"/>
        <v>-27180</v>
      </c>
      <c r="X28" s="33">
        <v>27180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22315014</v>
      </c>
      <c r="I30" s="36">
        <f t="shared" ref="I30:Y30" si="5">SUM(I10:I29)</f>
        <v>0</v>
      </c>
      <c r="J30" s="36">
        <f t="shared" si="5"/>
        <v>1115751</v>
      </c>
      <c r="K30" s="36">
        <f t="shared" si="5"/>
        <v>1664344</v>
      </c>
      <c r="L30" s="36">
        <f t="shared" si="5"/>
        <v>1069185</v>
      </c>
      <c r="M30" s="36">
        <f t="shared" si="5"/>
        <v>0</v>
      </c>
      <c r="N30" s="36">
        <f t="shared" si="5"/>
        <v>21223552</v>
      </c>
      <c r="O30" s="36">
        <f t="shared" si="5"/>
        <v>0</v>
      </c>
      <c r="P30" s="36">
        <f t="shared" si="5"/>
        <v>0</v>
      </c>
      <c r="Q30" s="36">
        <f t="shared" si="5"/>
        <v>0</v>
      </c>
      <c r="R30" s="36">
        <f t="shared" si="5"/>
        <v>0</v>
      </c>
      <c r="S30" s="36">
        <f t="shared" si="5"/>
        <v>0</v>
      </c>
      <c r="T30" s="36">
        <f t="shared" si="5"/>
        <v>0</v>
      </c>
      <c r="U30" s="36">
        <f t="shared" si="5"/>
        <v>0</v>
      </c>
      <c r="V30" s="36">
        <f t="shared" si="5"/>
        <v>4729248</v>
      </c>
      <c r="W30" s="36">
        <f t="shared" si="5"/>
        <v>49978724</v>
      </c>
      <c r="X30" s="36">
        <f t="shared" si="5"/>
        <v>29968</v>
      </c>
      <c r="Y30" s="36">
        <f t="shared" si="5"/>
        <v>50008692</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-8701</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-8701</v>
      </c>
      <c r="X32" s="34">
        <f t="shared" si="6"/>
        <v>0</v>
      </c>
      <c r="Y32" s="34">
        <f t="shared" si="6"/>
        <v>-8701</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-8701</v>
      </c>
      <c r="O33" s="34">
        <f t="shared" si="8"/>
        <v>0</v>
      </c>
      <c r="P33" s="34">
        <f t="shared" si="8"/>
        <v>0</v>
      </c>
      <c r="Q33" s="34">
        <f t="shared" si="8"/>
        <v>0</v>
      </c>
      <c r="R33" s="34">
        <f t="shared" si="8"/>
        <v>0</v>
      </c>
      <c r="S33" s="34">
        <f t="shared" ref="S33:T33" si="9">S11+S32</f>
        <v>0</v>
      </c>
      <c r="T33" s="34">
        <f t="shared" si="9"/>
        <v>0</v>
      </c>
      <c r="U33" s="34">
        <f t="shared" si="8"/>
        <v>0</v>
      </c>
      <c r="V33" s="34">
        <f t="shared" si="8"/>
        <v>4729248</v>
      </c>
      <c r="W33" s="34">
        <f t="shared" si="8"/>
        <v>4720547</v>
      </c>
      <c r="X33" s="34">
        <f t="shared" si="8"/>
        <v>0</v>
      </c>
      <c r="Y33" s="34">
        <f t="shared" si="8"/>
        <v>4720547</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5423921</v>
      </c>
      <c r="O34" s="36">
        <f t="shared" si="10"/>
        <v>0</v>
      </c>
      <c r="P34" s="36">
        <f t="shared" si="10"/>
        <v>0</v>
      </c>
      <c r="Q34" s="36">
        <f t="shared" si="10"/>
        <v>0</v>
      </c>
      <c r="R34" s="36">
        <f t="shared" si="10"/>
        <v>0</v>
      </c>
      <c r="S34" s="36">
        <f t="shared" ref="S34:T34" si="11">SUM(S21:S29)</f>
        <v>0</v>
      </c>
      <c r="T34" s="36">
        <f t="shared" si="11"/>
        <v>0</v>
      </c>
      <c r="U34" s="36">
        <f t="shared" si="10"/>
        <v>0</v>
      </c>
      <c r="V34" s="36">
        <f t="shared" si="10"/>
        <v>-5451101</v>
      </c>
      <c r="W34" s="36">
        <f t="shared" si="10"/>
        <v>-27180</v>
      </c>
      <c r="X34" s="36">
        <f t="shared" si="10"/>
        <v>27180</v>
      </c>
      <c r="Y34" s="36">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 t="shared" ref="H36:U36" si="12">+H30</f>
        <v>22315014</v>
      </c>
      <c r="I36" s="33">
        <f t="shared" si="12"/>
        <v>0</v>
      </c>
      <c r="J36" s="33">
        <f t="shared" si="12"/>
        <v>1115751</v>
      </c>
      <c r="K36" s="33">
        <f t="shared" si="12"/>
        <v>1664344</v>
      </c>
      <c r="L36" s="33">
        <f t="shared" si="12"/>
        <v>1069185</v>
      </c>
      <c r="M36" s="33">
        <f t="shared" si="12"/>
        <v>0</v>
      </c>
      <c r="N36" s="33">
        <f t="shared" si="12"/>
        <v>21223552</v>
      </c>
      <c r="O36" s="33">
        <f t="shared" si="12"/>
        <v>0</v>
      </c>
      <c r="P36" s="33">
        <f t="shared" si="12"/>
        <v>0</v>
      </c>
      <c r="Q36" s="33">
        <f t="shared" si="12"/>
        <v>0</v>
      </c>
      <c r="R36" s="33">
        <f t="shared" si="12"/>
        <v>0</v>
      </c>
      <c r="S36" s="33">
        <f t="shared" si="12"/>
        <v>0</v>
      </c>
      <c r="T36" s="33">
        <f t="shared" si="12"/>
        <v>0</v>
      </c>
      <c r="U36" s="33">
        <f t="shared" si="12"/>
        <v>0</v>
      </c>
      <c r="V36" s="33">
        <f>+V30</f>
        <v>4729248</v>
      </c>
      <c r="W36" s="37">
        <f>H36+I36+J36+K36-L36+M36+N36+O36+P36+Q36+R36+U36+V36+S36+T36</f>
        <v>49978724</v>
      </c>
      <c r="X36" s="33">
        <f>+X30</f>
        <v>29968</v>
      </c>
      <c r="Y36" s="37">
        <f t="shared" ref="Y36:Y38" si="13">W36+X36</f>
        <v>50008692</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5" t="s">
        <v>430</v>
      </c>
      <c r="B39" s="275"/>
      <c r="C39" s="275"/>
      <c r="D39" s="275"/>
      <c r="E39" s="275"/>
      <c r="F39" s="275"/>
      <c r="G39" s="7">
        <v>31</v>
      </c>
      <c r="H39" s="34">
        <f>H36+H37+H38</f>
        <v>22315014</v>
      </c>
      <c r="I39" s="34">
        <f t="shared" ref="I39:Y39" si="15">I36+I37+I38</f>
        <v>0</v>
      </c>
      <c r="J39" s="34">
        <f t="shared" si="15"/>
        <v>1115751</v>
      </c>
      <c r="K39" s="34">
        <f t="shared" si="15"/>
        <v>1664344</v>
      </c>
      <c r="L39" s="34">
        <f t="shared" si="15"/>
        <v>1069185</v>
      </c>
      <c r="M39" s="34">
        <f t="shared" si="15"/>
        <v>0</v>
      </c>
      <c r="N39" s="34">
        <f t="shared" si="15"/>
        <v>21223552</v>
      </c>
      <c r="O39" s="34">
        <f t="shared" si="15"/>
        <v>0</v>
      </c>
      <c r="P39" s="34">
        <f t="shared" si="15"/>
        <v>0</v>
      </c>
      <c r="Q39" s="34">
        <f t="shared" si="15"/>
        <v>0</v>
      </c>
      <c r="R39" s="34">
        <f t="shared" si="15"/>
        <v>0</v>
      </c>
      <c r="S39" s="34">
        <f t="shared" si="15"/>
        <v>0</v>
      </c>
      <c r="T39" s="34">
        <f t="shared" si="15"/>
        <v>0</v>
      </c>
      <c r="U39" s="34">
        <f t="shared" si="15"/>
        <v>0</v>
      </c>
      <c r="V39" s="34">
        <f t="shared" si="15"/>
        <v>4729248</v>
      </c>
      <c r="W39" s="34">
        <f t="shared" si="15"/>
        <v>49978724</v>
      </c>
      <c r="X39" s="34">
        <f t="shared" si="15"/>
        <v>29968</v>
      </c>
      <c r="Y39" s="34">
        <f t="shared" si="15"/>
        <v>50008692</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5479528</v>
      </c>
      <c r="W40" s="37">
        <f t="shared" ref="W40:W58" si="16">H40+I40+J40+K40-L40+M40+N40+O40+P40+Q40+R40+U40+V40+S40+T40</f>
        <v>5479528</v>
      </c>
      <c r="X40" s="33">
        <v>0</v>
      </c>
      <c r="Y40" s="37">
        <f t="shared" ref="Y40:Y58" si="17">W40+X40</f>
        <v>5479528</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69" t="s">
        <v>274</v>
      </c>
      <c r="B48" s="269"/>
      <c r="C48" s="269"/>
      <c r="D48" s="269"/>
      <c r="E48" s="269"/>
      <c r="F48" s="269"/>
      <c r="G48" s="6">
        <v>40</v>
      </c>
      <c r="H48" s="33">
        <v>0</v>
      </c>
      <c r="I48" s="33">
        <v>0</v>
      </c>
      <c r="J48" s="33">
        <v>0</v>
      </c>
      <c r="K48" s="33">
        <v>0</v>
      </c>
      <c r="L48" s="33">
        <v>0</v>
      </c>
      <c r="M48" s="33">
        <v>0</v>
      </c>
      <c r="N48" s="33">
        <f>1587+2500</f>
        <v>4087</v>
      </c>
      <c r="O48" s="33">
        <v>0</v>
      </c>
      <c r="P48" s="33">
        <v>0</v>
      </c>
      <c r="Q48" s="33">
        <v>0</v>
      </c>
      <c r="R48" s="33">
        <v>0</v>
      </c>
      <c r="S48" s="33">
        <v>0</v>
      </c>
      <c r="T48" s="33">
        <v>0</v>
      </c>
      <c r="U48" s="33">
        <v>0</v>
      </c>
      <c r="V48" s="33">
        <v>0</v>
      </c>
      <c r="W48" s="37">
        <f t="shared" si="16"/>
        <v>4087</v>
      </c>
      <c r="X48" s="33">
        <v>0</v>
      </c>
      <c r="Y48" s="37">
        <f t="shared" si="17"/>
        <v>4087</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
      <c r="A57" s="269" t="s">
        <v>432</v>
      </c>
      <c r="B57" s="269"/>
      <c r="C57" s="269"/>
      <c r="D57" s="269"/>
      <c r="E57" s="269"/>
      <c r="F57" s="269"/>
      <c r="G57" s="6">
        <v>49</v>
      </c>
      <c r="H57" s="33">
        <v>0</v>
      </c>
      <c r="I57" s="33">
        <v>0</v>
      </c>
      <c r="J57" s="33">
        <v>0</v>
      </c>
      <c r="K57" s="33">
        <v>0</v>
      </c>
      <c r="L57" s="33">
        <v>0</v>
      </c>
      <c r="M57" s="33">
        <v>0</v>
      </c>
      <c r="N57" s="33">
        <f>4729248-3266</f>
        <v>4725982</v>
      </c>
      <c r="O57" s="33">
        <v>0</v>
      </c>
      <c r="P57" s="33">
        <v>0</v>
      </c>
      <c r="Q57" s="33">
        <v>0</v>
      </c>
      <c r="R57" s="33">
        <v>0</v>
      </c>
      <c r="S57" s="33">
        <v>0</v>
      </c>
      <c r="T57" s="33">
        <v>0</v>
      </c>
      <c r="U57" s="33">
        <v>0</v>
      </c>
      <c r="V57" s="33">
        <f>-4729248</f>
        <v>-4729248</v>
      </c>
      <c r="W57" s="37">
        <f t="shared" si="16"/>
        <v>-3266</v>
      </c>
      <c r="X57" s="33">
        <v>3266</v>
      </c>
      <c r="Y57" s="37">
        <f t="shared" si="17"/>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0" t="s">
        <v>433</v>
      </c>
      <c r="B59" s="270"/>
      <c r="C59" s="270"/>
      <c r="D59" s="270"/>
      <c r="E59" s="270"/>
      <c r="F59" s="270"/>
      <c r="G59" s="8">
        <v>51</v>
      </c>
      <c r="H59" s="36">
        <f>SUM(H39:H58)</f>
        <v>22315014</v>
      </c>
      <c r="I59" s="36">
        <f t="shared" ref="I59:Y59" si="18">SUM(I39:I58)</f>
        <v>0</v>
      </c>
      <c r="J59" s="36">
        <f t="shared" si="18"/>
        <v>1115751</v>
      </c>
      <c r="K59" s="36">
        <f t="shared" si="18"/>
        <v>1664344</v>
      </c>
      <c r="L59" s="36">
        <f t="shared" si="18"/>
        <v>1069185</v>
      </c>
      <c r="M59" s="36">
        <f t="shared" si="18"/>
        <v>0</v>
      </c>
      <c r="N59" s="36">
        <f t="shared" si="18"/>
        <v>25953621</v>
      </c>
      <c r="O59" s="36">
        <f t="shared" si="18"/>
        <v>0</v>
      </c>
      <c r="P59" s="36">
        <f t="shared" si="18"/>
        <v>0</v>
      </c>
      <c r="Q59" s="36">
        <f t="shared" si="18"/>
        <v>0</v>
      </c>
      <c r="R59" s="36">
        <f t="shared" si="18"/>
        <v>0</v>
      </c>
      <c r="S59" s="36">
        <f t="shared" si="18"/>
        <v>0</v>
      </c>
      <c r="T59" s="36">
        <f t="shared" si="18"/>
        <v>0</v>
      </c>
      <c r="U59" s="36">
        <f t="shared" si="18"/>
        <v>0</v>
      </c>
      <c r="V59" s="36">
        <f t="shared" si="18"/>
        <v>5479528</v>
      </c>
      <c r="W59" s="36">
        <f t="shared" si="18"/>
        <v>55459073</v>
      </c>
      <c r="X59" s="36">
        <f t="shared" si="18"/>
        <v>33234</v>
      </c>
      <c r="Y59" s="36">
        <f t="shared" si="18"/>
        <v>55492307</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9">SUM(I41:I49)</f>
        <v>0</v>
      </c>
      <c r="J61" s="37">
        <f t="shared" si="19"/>
        <v>0</v>
      </c>
      <c r="K61" s="37">
        <f t="shared" si="19"/>
        <v>0</v>
      </c>
      <c r="L61" s="37">
        <f t="shared" si="19"/>
        <v>0</v>
      </c>
      <c r="M61" s="37">
        <f t="shared" si="19"/>
        <v>0</v>
      </c>
      <c r="N61" s="37">
        <f t="shared" si="19"/>
        <v>4087</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4087</v>
      </c>
      <c r="X61" s="37">
        <f t="shared" si="19"/>
        <v>0</v>
      </c>
      <c r="Y61" s="37">
        <f t="shared" si="19"/>
        <v>4087</v>
      </c>
    </row>
    <row r="62" spans="1:25" ht="27.75" customHeight="1" x14ac:dyDescent="0.2">
      <c r="A62" s="267" t="s">
        <v>435</v>
      </c>
      <c r="B62" s="267"/>
      <c r="C62" s="267"/>
      <c r="D62" s="267"/>
      <c r="E62" s="267"/>
      <c r="F62" s="267"/>
      <c r="G62" s="7">
        <v>53</v>
      </c>
      <c r="H62" s="37">
        <f>H40+H61</f>
        <v>0</v>
      </c>
      <c r="I62" s="37">
        <f t="shared" ref="I62:Y62" si="21">I40+I61</f>
        <v>0</v>
      </c>
      <c r="J62" s="37">
        <f t="shared" si="21"/>
        <v>0</v>
      </c>
      <c r="K62" s="37">
        <f t="shared" si="21"/>
        <v>0</v>
      </c>
      <c r="L62" s="37">
        <f t="shared" si="21"/>
        <v>0</v>
      </c>
      <c r="M62" s="37">
        <f t="shared" si="21"/>
        <v>0</v>
      </c>
      <c r="N62" s="37">
        <f t="shared" si="21"/>
        <v>4087</v>
      </c>
      <c r="O62" s="37">
        <f t="shared" si="21"/>
        <v>0</v>
      </c>
      <c r="P62" s="37">
        <f t="shared" si="21"/>
        <v>0</v>
      </c>
      <c r="Q62" s="37">
        <f t="shared" si="21"/>
        <v>0</v>
      </c>
      <c r="R62" s="37">
        <f t="shared" si="21"/>
        <v>0</v>
      </c>
      <c r="S62" s="37">
        <f t="shared" ref="S62:T62" si="22">S40+S61</f>
        <v>0</v>
      </c>
      <c r="T62" s="37">
        <f t="shared" si="22"/>
        <v>0</v>
      </c>
      <c r="U62" s="37">
        <f t="shared" si="21"/>
        <v>0</v>
      </c>
      <c r="V62" s="37">
        <f t="shared" si="21"/>
        <v>5479528</v>
      </c>
      <c r="W62" s="37">
        <f t="shared" si="21"/>
        <v>5483615</v>
      </c>
      <c r="X62" s="37">
        <f t="shared" si="21"/>
        <v>0</v>
      </c>
      <c r="Y62" s="37">
        <f t="shared" si="21"/>
        <v>5483615</v>
      </c>
    </row>
    <row r="63" spans="1:25" ht="29.25" customHeight="1" x14ac:dyDescent="0.2">
      <c r="A63" s="268" t="s">
        <v>436</v>
      </c>
      <c r="B63" s="268"/>
      <c r="C63" s="268"/>
      <c r="D63" s="268"/>
      <c r="E63" s="268"/>
      <c r="F63" s="268"/>
      <c r="G63" s="8">
        <v>54</v>
      </c>
      <c r="H63" s="38">
        <f>SUM(H50:H58)</f>
        <v>0</v>
      </c>
      <c r="I63" s="38">
        <f t="shared" ref="I63:Y63" si="23">SUM(I50:I58)</f>
        <v>0</v>
      </c>
      <c r="J63" s="38">
        <f t="shared" si="23"/>
        <v>0</v>
      </c>
      <c r="K63" s="38">
        <f t="shared" si="23"/>
        <v>0</v>
      </c>
      <c r="L63" s="38">
        <f t="shared" si="23"/>
        <v>0</v>
      </c>
      <c r="M63" s="38">
        <f t="shared" si="23"/>
        <v>0</v>
      </c>
      <c r="N63" s="38">
        <f t="shared" si="23"/>
        <v>4725982</v>
      </c>
      <c r="O63" s="38">
        <f t="shared" si="23"/>
        <v>0</v>
      </c>
      <c r="P63" s="38">
        <f t="shared" si="23"/>
        <v>0</v>
      </c>
      <c r="Q63" s="38">
        <f t="shared" si="23"/>
        <v>0</v>
      </c>
      <c r="R63" s="38">
        <f t="shared" si="23"/>
        <v>0</v>
      </c>
      <c r="S63" s="38">
        <f t="shared" ref="S63:T63" si="24">SUM(S50:S58)</f>
        <v>0</v>
      </c>
      <c r="T63" s="38">
        <f t="shared" si="24"/>
        <v>0</v>
      </c>
      <c r="U63" s="38">
        <f t="shared" si="23"/>
        <v>0</v>
      </c>
      <c r="V63" s="38">
        <f t="shared" si="23"/>
        <v>-4729248</v>
      </c>
      <c r="W63" s="38">
        <f t="shared" si="23"/>
        <v>-3266</v>
      </c>
      <c r="X63" s="38">
        <f t="shared" si="23"/>
        <v>3266</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47244094488188981" top="0.55118110236220474" bottom="0.55118110236220474" header="0.35433070866141736" footer="0.51181102362204722"/>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471</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0866141732283472" right="0.70866141732283472" top="0.74803149606299213" bottom="0.74803149606299213" header="0.31496062992125984" footer="0.31496062992125984"/>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Divna Pjevalica</cp:lastModifiedBy>
  <cp:lastPrinted>2025-02-27T06:50:43Z</cp:lastPrinted>
  <dcterms:created xsi:type="dcterms:W3CDTF">2008-10-17T11:51:54Z</dcterms:created>
  <dcterms:modified xsi:type="dcterms:W3CDTF">2025-02-27T06:53:03Z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