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5/"/>
    </mc:Choice>
  </mc:AlternateContent>
  <xr:revisionPtr revIDLastSave="170" documentId="8_{3410342D-7D94-41FC-8340-16BB0FBB6AFF}" xr6:coauthVersionLast="47" xr6:coauthVersionMax="47" xr10:uidLastSave="{E682CCD8-0782-4F5F-8305-297F68604717}"/>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26" l="1"/>
  <c r="I12" i="18"/>
  <c r="J86" i="26"/>
  <c r="H75" i="18" l="1"/>
  <c r="I87" i="26"/>
  <c r="I86" i="26"/>
  <c r="I65" i="26"/>
  <c r="I51" i="26"/>
  <c r="I45" i="26"/>
  <c r="I44" i="26"/>
  <c r="I36" i="26"/>
  <c r="I25" i="26"/>
  <c r="I24" i="26"/>
  <c r="I23" i="26"/>
  <c r="I22" i="26"/>
  <c r="I21" i="26"/>
  <c r="I19" i="26"/>
  <c r="I17" i="26"/>
  <c r="K87" i="26"/>
  <c r="K86" i="26"/>
  <c r="K65" i="26"/>
  <c r="K52" i="26"/>
  <c r="K51" i="26"/>
  <c r="K44" i="26"/>
  <c r="K36" i="26"/>
  <c r="K25" i="26" l="1"/>
  <c r="K24" i="26"/>
  <c r="K23" i="26"/>
  <c r="K22" i="26"/>
  <c r="K21" i="26"/>
  <c r="K19" i="26"/>
  <c r="K17" i="26"/>
  <c r="K13" i="26"/>
  <c r="K11" i="26"/>
  <c r="K10" i="26"/>
  <c r="I13" i="26"/>
  <c r="I11" i="26"/>
  <c r="I10" i="26"/>
  <c r="C29" i="25"/>
  <c r="I112" i="26" l="1"/>
  <c r="J112" i="26"/>
  <c r="K112" i="26"/>
  <c r="I113" i="26"/>
  <c r="J113" i="26"/>
  <c r="K113" i="26"/>
  <c r="H113" i="26"/>
  <c r="H112" i="26"/>
  <c r="I59" i="26" l="1"/>
  <c r="I58" i="26"/>
  <c r="I57" i="26"/>
  <c r="I56" i="26"/>
  <c r="I55" i="26"/>
  <c r="I54" i="26"/>
  <c r="I53" i="26"/>
  <c r="I52" i="26"/>
  <c r="I50" i="26"/>
  <c r="I49" i="26"/>
  <c r="I47" i="26"/>
  <c r="I46" i="26"/>
  <c r="I43" i="26"/>
  <c r="I42" i="26"/>
  <c r="I41" i="26"/>
  <c r="I40" i="26"/>
  <c r="I39" i="26"/>
  <c r="I38" i="26"/>
  <c r="I35" i="26"/>
  <c r="I34" i="26"/>
  <c r="I33" i="26"/>
  <c r="I32" i="26"/>
  <c r="I31" i="26"/>
  <c r="I30" i="26"/>
  <c r="I18" i="26"/>
  <c r="I12" i="26"/>
  <c r="I9" i="26"/>
  <c r="K45" i="26"/>
  <c r="K12" i="26"/>
  <c r="K9" i="26"/>
  <c r="K18" i="26"/>
  <c r="I18" i="18" l="1"/>
  <c r="I107" i="26" l="1"/>
  <c r="I106" i="26"/>
  <c r="I105" i="26"/>
  <c r="I104" i="26"/>
  <c r="I103" i="26"/>
  <c r="I102" i="26"/>
  <c r="I101" i="26"/>
  <c r="I100" i="26"/>
  <c r="I99" i="26"/>
  <c r="I97" i="26"/>
  <c r="I96" i="26"/>
  <c r="I95" i="26"/>
  <c r="I94" i="26"/>
  <c r="I93" i="26"/>
  <c r="I92" i="26"/>
  <c r="I79" i="26"/>
  <c r="I78" i="26"/>
  <c r="I73" i="26"/>
  <c r="I72" i="26"/>
  <c r="I71" i="26"/>
  <c r="I28" i="26"/>
  <c r="I27" i="26"/>
  <c r="I15" i="26"/>
  <c r="K107" i="26"/>
  <c r="K106" i="26"/>
  <c r="K105" i="26"/>
  <c r="K104" i="26"/>
  <c r="K103" i="26"/>
  <c r="K102" i="26"/>
  <c r="K101" i="26"/>
  <c r="K100" i="26"/>
  <c r="K99" i="26"/>
  <c r="K97" i="26"/>
  <c r="K96" i="26"/>
  <c r="K95" i="26"/>
  <c r="K94" i="26"/>
  <c r="K93" i="26"/>
  <c r="K92"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8"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I8" i="20" s="1"/>
  <c r="H63" i="26"/>
  <c r="H8" i="20" s="1"/>
  <c r="K62" i="26"/>
  <c r="K66" i="26" s="1"/>
  <c r="H62" i="26"/>
  <c r="H68" i="26" s="1"/>
  <c r="H64" i="26"/>
  <c r="I51" i="21"/>
  <c r="I53" i="21" s="1"/>
  <c r="H51" i="21"/>
  <c r="H53" i="21" s="1"/>
  <c r="I67" i="26" l="1"/>
  <c r="I68" i="26"/>
  <c r="J66" i="26"/>
  <c r="J89" i="26" s="1"/>
  <c r="K89" i="26" s="1"/>
  <c r="J68" i="26"/>
  <c r="K67" i="26"/>
  <c r="K68" i="26"/>
  <c r="H66" i="26"/>
  <c r="H89" i="26" s="1"/>
  <c r="I89" i="26" s="1"/>
  <c r="H67" i="26"/>
  <c r="I85" i="18"/>
  <c r="H85" i="18"/>
  <c r="J109" i="26" l="1"/>
  <c r="K109" i="26"/>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<sst xmlns="http://schemas.openxmlformats.org/spreadsheetml/2006/main" count="537" uniqueCount="472">
  <si>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</si>
  <si>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</si>
  <si>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</si>
  <si>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</si>
  <si>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</si>
  <si>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</si>
  <si>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</si>
  <si>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</si>
  <si>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</si>
  <si>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</si>
  <si>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</si>
  <si>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</si>
  <si>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</si>
  <si>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</si>
  <si>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</si>
  <si>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</si>
  <si>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</si>
  <si>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</si>
  <si>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</si>
  <si>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</si>
  <si>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</si>
  <si>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</si>
  <si>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</si>
  <si>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</si>
  <si>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</si>
  <si>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</si>
  <si>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</si>
  <si>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</si>
  <si>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</si>
  <si>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</si>
  <si>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</si>
  <si>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</si>
  <si>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</si>
  <si>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</si>
  <si>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</si>
  <si>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</si>
  <si>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</si>
  <si>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</si>
  <si>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</si>
  <si>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</si>
  <si>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</si>
  <si>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</si>
  <si>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</si>
  <si>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</si>
  <si>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</si>
  <si>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</si>
  <si>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</si>
  <si>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</si>
  <si>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</si>
  <si>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</si>
  <si>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</si>
  <si>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</si>
  <si>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</si>
  <si>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</si>
  <si>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</si>
  <si>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</si>
  <si>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</si>
  <si>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</si>
  <si>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</si>
  <si>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</si>
  <si>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</si>
  <si>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</si>
  <si>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</si>
  <si>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</si>
  <si>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</si>
  <si>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</si>
  <si>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</si>
  <si>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</si>
  <si>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</si>
  <si>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</si>
  <si>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</si>
  <si>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</si>
  <si>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</si>
  <si>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</si>
  <si>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</si>
  <si>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</si>
  <si>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</si>
  <si>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</si>
  <si>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</si>
  <si>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</si>
  <si>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</si>
  <si>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</si>
  <si>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</si>
  <si>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</si>
  <si>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</si>
  <si>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</si>
  <si>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</si>
  <si>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</si>
  <si>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</si>
  <si>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</si>
  <si>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</si>
  <si>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</si>
  <si>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</si>
  <si>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</si>
  <si>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</si>
  <si>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</si>
  <si>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</si>
  <si>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</si>
  <si>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</si>
  <si>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</si>
  <si>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</si>
  <si>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</si>
  <si>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</si>
  <si>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</si>
  <si>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</si>
  <si>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</si>
  <si>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</si>
  <si>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</si>
  <si>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</si>
  <si>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</si>
  <si>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</si>
  <si>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</si>
  <si>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</si>
  <si>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</si>
  <si>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</si>
  <si>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</si>
  <si>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</si>
  <si>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</si>
  <si>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</si>
  <si>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</si>
  <si>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</si>
  <si>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</si>
  <si>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</si>
  <si>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</si>
  <si>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</si>
  <si>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</si>
  <si>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</si>
  <si>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</si>
  <si>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</si>
  <si>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</si>
  <si>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</si>
  <si>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</si>
  <si>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</si>
  <si>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</si>
  <si>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</si>
  <si>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</si>
  <si>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</si>
  <si>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</si>
  <si>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</si>
  <si>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</si>
  <si>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</si>
  <si>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</si>
  <si>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</si>
  <si>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</si>
  <si>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</si>
  <si>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</si>
  <si>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</si>
  <si>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</si>
  <si>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</si>
  <si>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</si>
  <si>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</si>
  <si>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</si>
  <si>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</si>
  <si>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</si>
  <si>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</si>
  <si>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</si>
  <si>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</si>
  <si>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</si>
  <si>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</si>
  <si>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</si>
  <si>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</si>
  <si>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</si>
  <si>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</si>
  <si>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</si>
  <si>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</si>
  <si>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</si>
  <si>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</si>
  <si>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</si>
  <si>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</si>
  <si>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</si>
  <si>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</si>
  <si>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</si>
  <si>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</si>
  <si>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</si>
  <si>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</si>
  <si>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</si>
  <si>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</si>
  <si>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</si>
  <si>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</si>
  <si>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</si>
  <si>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</si>
  <si>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</si>
  <si>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</si>
  <si>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</si>
  <si>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</si>
  <si>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</si>
  <si>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</si>
  <si>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</si>
  <si>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</si>
  <si>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</si>
  <si>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</si>
  <si>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</si>
  <si>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</si>
  <si>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</si>
  <si>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</si>
  <si>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</si>
  <si>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</si>
  <si>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</si>
  <si>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</si>
  <si>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</si>
  <si>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</si>
  <si>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</si>
  <si>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</si>
  <si>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</si>
  <si>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</si>
  <si>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</si>
  <si>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</si>
  <si>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</si>
  <si>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</si>
  <si>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</si>
  <si>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</si>
  <si>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</si>
  <si>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</si>
  <si>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</si>
  <si>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</si>
  <si>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</si>
  <si>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</si>
  <si>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</si>
  <si>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</si>
  <si>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</si>
  <si>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</si>
  <si>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</si>
  <si>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</si>
  <si>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</si>
  <si>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</si>
  <si>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</si>
  <si>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</si>
  <si>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</si>
  <si>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</si>
  <si>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</si>
  <si>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</si>
  <si>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</si>
  <si>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</si>
  <si>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</si>
  <si>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</si>
  <si>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</si>
  <si>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</si>
  <si>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</si>
  <si>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</si>
  <si>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</si>
  <si>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</si>
  <si>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</si>
  <si>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</si>
  <si>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</si>
  <si>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</si>
  <si>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</si>
  <si>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</si>
  <si>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</si>
  <si>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</si>
  <si>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</si>
  <si>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</si>
  <si>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</si>
  <si>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</si>
  <si>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</si>
  <si>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</si>
  <si>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</si>
  <si>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</si>
  <si>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</si>
  <si>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</si>
  <si>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</si>
  <si>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</si>
  <si>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</si>
  <si>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</si>
  <si>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</si>
  <si>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</si>
  <si>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</si>
  <si>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</si>
  <si>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</si>
  <si>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</si>
  <si>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</si>
  <si>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</si>
  <si>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</si>
  <si>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</si>
  <si>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</si>
  <si>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</si>
  <si>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</si>
  <si>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</si>
  <si>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</si>
  <si>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</si>
  <si>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</si>
  <si>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</si>
  <si>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</si>
  <si>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</si>
  <si>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</si>
  <si>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</si>
  <si>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</si>
  <si>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</si>
  <si>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</si>
  <si>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</si>
  <si>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</si>
  <si>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</si>
  <si>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</si>
  <si>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</si>
  <si>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</si>
  <si>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</si>
  <si>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</si>
  <si>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</si>
  <si>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</si>
  <si>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</si>
  <si>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</si>
  <si>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</si>
  <si>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</si>
  <si>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</si>
  <si>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</si>
  <si>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</si>
  <si>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</si>
  <si>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</si>
  <si>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</si>
  <si>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</si>
  <si>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</si>
  <si>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</si>
  <si>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</si>
  <si>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</si>
  <si>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</si>
  <si>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</si>
  <si>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</si>
  <si>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</si>
  <si>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</si>
  <si>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</si>
  <si>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</si>
  <si>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</si>
  <si>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</si>
  <si>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</si>
  <si>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</si>
  <si>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</si>
  <si>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</si>
  <si>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</si>
  <si>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</si>
  <si>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</si>
  <si>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</si>
  <si>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</si>
  <si>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</si>
  <si>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</si>
  <si>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</si>
  <si>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</si>
  <si>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</si>
  <si>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</si>
  <si>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</si>
  <si>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</si>
  <si>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</si>
  <si>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</si>
  <si>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</si>
  <si>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</si>
  <si>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</si>
  <si>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</si>
  <si>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</si>
  <si>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</si>
  <si>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</si>
  <si>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</si>
  <si>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</si>
  <si>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</si>
  <si>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</si>
  <si>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</si>
  <si>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</si>
  <si>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</si>
  <si>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</si>
  <si>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</si>
  <si>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</si>
  <si>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</si>
  <si>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</si>
  <si>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</si>
  <si>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</si>
  <si>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</si>
  <si>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</si>
  <si>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</si>
  <si>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</si>
  <si>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</si>
  <si>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</si>
  <si>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</si>
  <si>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</si>
  <si>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</si>
  <si>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</si>
  <si>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</si>
  <si>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</si>
  <si>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</si>
  <si>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</si>
  <si>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</si>
  <si>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</si>
  <si>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</si>
  <si>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</si>
  <si>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</si>
  <si>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</si>
  <si>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</si>
  <si>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</si>
  <si>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</si>
  <si>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</si>
  <si>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</si>
  <si>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</si>
  <si>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</si>
  <si>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</si>
  <si>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</si>
  <si>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</si>
  <si>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</si>
  <si>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</si>
  <si>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</si>
  <si>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</si>
  <si>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</si>
  <si>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</si>
  <si>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</si>
  <si>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</si>
  <si>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</si>
  <si>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</si>
  <si>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</si>
  <si>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</si>
  <si>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</si>
  <si>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</si>
  <si>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</si>
  <si>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</si>
  <si>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</si>
  <si>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</si>
  <si>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</si>
  <si>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</si>
  <si>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</si>
  <si>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</si>
  <si>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</si>
  <si>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</si>
  <si>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</si>
  <si>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</si>
  <si>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</si>
  <si>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</si>
  <si>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</si>
  <si>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</si>
  <si>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</si>
  <si>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</si>
  <si>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</si>
  <si>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</si>
  <si>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</si>
  <si>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</si>
  <si>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</si>
  <si>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</si>
  <si>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</si>
  <si>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</si>
  <si>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</si>
  <si>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</si>
  <si>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</si>
  <si>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</si>
  <si>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</si>
  <si>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</si>
  <si>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</si>
  <si>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</si>
  <si>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</si>
  <si>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</si>
  <si>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</si>
  <si>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</si>
  <si>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</si>
  <si>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</si>
  <si>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</si>
  <si>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</si>
  <si>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</si>
  <si>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</si>
  <si>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</si>
  <si>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</si>
  <si>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</si>
  <si>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</si>
  <si>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</si>
  <si>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</si>
  <si>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</si>
  <si>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</si>
  <si>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</si>
  <si>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</si>
  <si>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</si>
  <si>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</si>
  <si>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</si>
  <si>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VL Steel d.o.o.</t>
  </si>
  <si>
    <t>04798759</t>
  </si>
  <si>
    <t>Radnička 39, 51000 Rijeka</t>
  </si>
  <si>
    <t>stanje na dan 30.6.2025</t>
  </si>
  <si>
    <t>u razdoblju 1.1.2025 do 30.6.2025</t>
  </si>
  <si>
    <t>u razdoblju 1.1.2025. do 30.6.2025.</t>
  </si>
  <si>
    <t>BILJEŠKE UZ FINANCIJSKE IZVJEŠTAJE - TFI
(koji se sastavljaju za tromjesečna razdoblja)
Naziv izdavatelja:   Brodogradilište Viktor Lenac d.d.
OIB:   27531244647
ISIN oznaka: HRVLENRB0001
Oznaka vrijednosnice: VLEN
Redovito tržište Zagrbačke burze
Izvještajno razdoblje: 1.1.2025.-30.6.2025
Bilješke uz financijske izvještaje:
Radi pojašnjavanja pozicija RDG-a i pozicija Bilance iz standardnog obrasca TFI-POD i financijskog izvještaja Društva navodimo slijedeće:
Društvo za kvartalna razdoblja posebno ne izdaje bilješke vezane uz Konsolidirani izvještaj zbog malog utjecaja Ovisnog društva na bilančne pozicije i pozicije računa dobiti i gubitka i obzirom da ovisno Društvo nema značajnije imovine. Većina prihoda ovisnog Društva ostvarena je u poslovanju s matičnim društvom i predmet su međusobnih eliminacija u izradi konsolidiranog izvještaja. Stoga bilješke nemaju značajniju materijalnu razliku u odnosu na iskazane podatke Matice.</t>
  </si>
  <si>
    <t>Obveznik: Brodogradilište Viktor Lenac d.d.- GRUPA</t>
  </si>
  <si>
    <t>Obveznik:Brodogradilište Viktor Lenac d.d.- Grupa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</si>
</sst>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6"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personal/divnap_lenac_hr/Documents/Documents/HANFA-FINA/2024/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 val="RDG-31-12-NOVI"/>
      <sheetName val="rdg-31-12-2023"/>
      <sheetName val="BRUTO BILANCA-31-12-2023"/>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E29" sqref="E29:F29"/>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69" t="s">
        <v>307</v>
      </c>
      <c r="B1" s="170"/>
      <c r="C1" s="170"/>
      <c r="D1" s="77"/>
      <c r="E1" s="77"/>
      <c r="F1" s="77"/>
      <c r="G1" s="77"/>
      <c r="H1" s="77"/>
      <c r="I1" s="77"/>
      <c r="J1" s="78"/>
    </row>
    <row r="2" spans="1:20" ht="14.45" customHeight="1" x14ac:dyDescent="0.25">
      <c r="A2" s="171" t="s">
        <v>323</v>
      </c>
      <c r="B2" s="172"/>
      <c r="C2" s="172"/>
      <c r="D2" s="172"/>
      <c r="E2" s="172"/>
      <c r="F2" s="172"/>
      <c r="G2" s="172"/>
      <c r="H2" s="172"/>
      <c r="I2" s="172"/>
      <c r="J2" s="173"/>
      <c r="N2" s="80">
        <v>1</v>
      </c>
    </row>
    <row r="3" spans="1:20" x14ac:dyDescent="0.25">
      <c r="A3" s="82"/>
      <c r="B3" s="83"/>
      <c r="C3" s="83"/>
      <c r="D3" s="83"/>
      <c r="E3" s="83"/>
      <c r="F3" s="83"/>
      <c r="G3" s="83"/>
      <c r="H3" s="83"/>
      <c r="I3" s="83"/>
      <c r="J3" s="84"/>
      <c r="N3" s="80">
        <v>2</v>
      </c>
    </row>
    <row r="4" spans="1:20" ht="33.6" customHeight="1" x14ac:dyDescent="0.25">
      <c r="A4" s="174" t="s">
        <v>308</v>
      </c>
      <c r="B4" s="175"/>
      <c r="C4" s="175"/>
      <c r="D4" s="175"/>
      <c r="E4" s="176">
        <v>45658</v>
      </c>
      <c r="F4" s="177"/>
      <c r="G4" s="85" t="s">
        <v>0</v>
      </c>
      <c r="H4" s="176">
        <v>45838</v>
      </c>
      <c r="I4" s="177"/>
      <c r="J4" s="86"/>
      <c r="N4" s="80">
        <v>3</v>
      </c>
    </row>
    <row r="5" spans="1:20" s="79" customFormat="1" ht="10.15" customHeight="1" x14ac:dyDescent="0.25">
      <c r="A5" s="178"/>
      <c r="B5" s="179"/>
      <c r="C5" s="179"/>
      <c r="D5" s="179"/>
      <c r="E5" s="179"/>
      <c r="F5" s="179"/>
      <c r="G5" s="179"/>
      <c r="H5" s="179"/>
      <c r="I5" s="179"/>
      <c r="J5" s="180"/>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2</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65" t="s">
        <v>332</v>
      </c>
      <c r="B10" s="166"/>
      <c r="C10" s="166"/>
      <c r="D10" s="166"/>
      <c r="E10" s="166"/>
      <c r="F10" s="166"/>
      <c r="G10" s="166"/>
      <c r="H10" s="166"/>
      <c r="I10" s="166"/>
      <c r="J10" s="94"/>
    </row>
    <row r="11" spans="1:20" ht="24.6" customHeight="1" x14ac:dyDescent="0.25">
      <c r="A11" s="153" t="s">
        <v>309</v>
      </c>
      <c r="B11" s="167"/>
      <c r="C11" s="159" t="s">
        <v>449</v>
      </c>
      <c r="D11" s="160"/>
      <c r="E11" s="95"/>
      <c r="F11" s="126" t="s">
        <v>333</v>
      </c>
      <c r="G11" s="163"/>
      <c r="H11" s="142" t="s">
        <v>450</v>
      </c>
      <c r="I11" s="143"/>
      <c r="J11" s="96"/>
    </row>
    <row r="12" spans="1:20" ht="14.45" customHeight="1" x14ac:dyDescent="0.25">
      <c r="A12" s="97"/>
      <c r="B12" s="76"/>
      <c r="C12" s="76"/>
      <c r="D12" s="76"/>
      <c r="E12" s="168"/>
      <c r="F12" s="168"/>
      <c r="G12" s="168"/>
      <c r="H12" s="168"/>
      <c r="I12" s="98"/>
      <c r="J12" s="96"/>
    </row>
    <row r="13" spans="1:20" ht="21" customHeight="1" x14ac:dyDescent="0.25">
      <c r="A13" s="125" t="s">
        <v>324</v>
      </c>
      <c r="B13" s="163"/>
      <c r="C13" s="159" t="s">
        <v>452</v>
      </c>
      <c r="D13" s="160"/>
      <c r="E13" s="181"/>
      <c r="F13" s="168"/>
      <c r="G13" s="168"/>
      <c r="H13" s="168"/>
      <c r="I13" s="98"/>
      <c r="J13" s="96"/>
    </row>
    <row r="14" spans="1:20" ht="10.9" customHeight="1" x14ac:dyDescent="0.25">
      <c r="A14" s="95"/>
      <c r="B14" s="98"/>
      <c r="C14" s="76"/>
      <c r="D14" s="76"/>
      <c r="E14" s="132"/>
      <c r="F14" s="132"/>
      <c r="G14" s="132"/>
      <c r="H14" s="132"/>
      <c r="I14" s="76"/>
      <c r="J14" s="99"/>
    </row>
    <row r="15" spans="1:20" ht="22.9" customHeight="1" x14ac:dyDescent="0.25">
      <c r="A15" s="125" t="s">
        <v>310</v>
      </c>
      <c r="B15" s="163"/>
      <c r="C15" s="159" t="s">
        <v>453</v>
      </c>
      <c r="D15" s="160"/>
      <c r="E15" s="164"/>
      <c r="F15" s="155"/>
      <c r="G15" s="100" t="s">
        <v>334</v>
      </c>
      <c r="H15" s="142" t="s">
        <v>451</v>
      </c>
      <c r="I15" s="143"/>
      <c r="J15" s="101"/>
    </row>
    <row r="16" spans="1:20" ht="10.9" customHeight="1" x14ac:dyDescent="0.25">
      <c r="A16" s="95"/>
      <c r="B16" s="98"/>
      <c r="C16" s="76"/>
      <c r="D16" s="76"/>
      <c r="E16" s="132"/>
      <c r="F16" s="132"/>
      <c r="G16" s="132"/>
      <c r="H16" s="132"/>
      <c r="I16" s="76"/>
      <c r="J16" s="99"/>
    </row>
    <row r="17" spans="1:10" ht="22.9" customHeight="1" x14ac:dyDescent="0.25">
      <c r="A17" s="102"/>
      <c r="B17" s="100" t="s">
        <v>335</v>
      </c>
      <c r="C17" s="159" t="s">
        <v>454</v>
      </c>
      <c r="D17" s="160"/>
      <c r="E17" s="103"/>
      <c r="F17" s="103"/>
      <c r="G17" s="103"/>
      <c r="H17" s="103"/>
      <c r="I17" s="103"/>
      <c r="J17" s="101"/>
    </row>
    <row r="18" spans="1:10" x14ac:dyDescent="0.25">
      <c r="A18" s="161"/>
      <c r="B18" s="162"/>
      <c r="C18" s="132"/>
      <c r="D18" s="132"/>
      <c r="E18" s="132"/>
      <c r="F18" s="132"/>
      <c r="G18" s="132"/>
      <c r="H18" s="132"/>
      <c r="I18" s="76"/>
      <c r="J18" s="99"/>
    </row>
    <row r="19" spans="1:10" x14ac:dyDescent="0.25">
      <c r="A19" s="153" t="s">
        <v>311</v>
      </c>
      <c r="B19" s="154"/>
      <c r="C19" s="133" t="s">
        <v>455</v>
      </c>
      <c r="D19" s="134"/>
      <c r="E19" s="134"/>
      <c r="F19" s="134"/>
      <c r="G19" s="134"/>
      <c r="H19" s="134"/>
      <c r="I19" s="134"/>
      <c r="J19" s="135"/>
    </row>
    <row r="20" spans="1:10" x14ac:dyDescent="0.25">
      <c r="A20" s="97"/>
      <c r="B20" s="76"/>
      <c r="C20" s="104"/>
      <c r="D20" s="76"/>
      <c r="E20" s="132"/>
      <c r="F20" s="132"/>
      <c r="G20" s="132"/>
      <c r="H20" s="132"/>
      <c r="I20" s="76"/>
      <c r="J20" s="99"/>
    </row>
    <row r="21" spans="1:10" x14ac:dyDescent="0.25">
      <c r="A21" s="153" t="s">
        <v>312</v>
      </c>
      <c r="B21" s="154"/>
      <c r="C21" s="142">
        <v>51221</v>
      </c>
      <c r="D21" s="143"/>
      <c r="E21" s="132"/>
      <c r="F21" s="132"/>
      <c r="G21" s="133" t="s">
        <v>462</v>
      </c>
      <c r="H21" s="134"/>
      <c r="I21" s="134"/>
      <c r="J21" s="135"/>
    </row>
    <row r="22" spans="1:10" x14ac:dyDescent="0.25">
      <c r="A22" s="97"/>
      <c r="B22" s="76"/>
      <c r="C22" s="76"/>
      <c r="D22" s="76"/>
      <c r="E22" s="132"/>
      <c r="F22" s="132"/>
      <c r="G22" s="132"/>
      <c r="H22" s="132"/>
      <c r="I22" s="76"/>
      <c r="J22" s="99"/>
    </row>
    <row r="23" spans="1:10" x14ac:dyDescent="0.25">
      <c r="A23" s="153" t="s">
        <v>313</v>
      </c>
      <c r="B23" s="154"/>
      <c r="C23" s="133" t="s">
        <v>461</v>
      </c>
      <c r="D23" s="134"/>
      <c r="E23" s="134"/>
      <c r="F23" s="134"/>
      <c r="G23" s="134"/>
      <c r="H23" s="134"/>
      <c r="I23" s="134"/>
      <c r="J23" s="135"/>
    </row>
    <row r="24" spans="1:10" x14ac:dyDescent="0.25">
      <c r="A24" s="97"/>
      <c r="B24" s="76"/>
      <c r="C24" s="76"/>
      <c r="D24" s="76"/>
      <c r="E24" s="132"/>
      <c r="F24" s="132"/>
      <c r="G24" s="132"/>
      <c r="H24" s="132"/>
      <c r="I24" s="76"/>
      <c r="J24" s="99"/>
    </row>
    <row r="25" spans="1:10" x14ac:dyDescent="0.25">
      <c r="A25" s="153" t="s">
        <v>314</v>
      </c>
      <c r="B25" s="154"/>
      <c r="C25" s="156" t="s">
        <v>456</v>
      </c>
      <c r="D25" s="157"/>
      <c r="E25" s="157"/>
      <c r="F25" s="157"/>
      <c r="G25" s="157"/>
      <c r="H25" s="157"/>
      <c r="I25" s="157"/>
      <c r="J25" s="158"/>
    </row>
    <row r="26" spans="1:10" x14ac:dyDescent="0.25">
      <c r="A26" s="97"/>
      <c r="B26" s="76"/>
      <c r="C26" s="104"/>
      <c r="D26" s="76"/>
      <c r="E26" s="132"/>
      <c r="F26" s="132"/>
      <c r="G26" s="132"/>
      <c r="H26" s="132"/>
      <c r="I26" s="76"/>
      <c r="J26" s="99"/>
    </row>
    <row r="27" spans="1:10" x14ac:dyDescent="0.25">
      <c r="A27" s="153" t="s">
        <v>315</v>
      </c>
      <c r="B27" s="154"/>
      <c r="C27" s="156" t="s">
        <v>457</v>
      </c>
      <c r="D27" s="157"/>
      <c r="E27" s="157"/>
      <c r="F27" s="157"/>
      <c r="G27" s="157"/>
      <c r="H27" s="157"/>
      <c r="I27" s="157"/>
      <c r="J27" s="158"/>
    </row>
    <row r="28" spans="1:10" ht="13.9" customHeight="1" x14ac:dyDescent="0.25">
      <c r="A28" s="97"/>
      <c r="B28" s="76"/>
      <c r="C28" s="104"/>
      <c r="D28" s="76"/>
      <c r="E28" s="132"/>
      <c r="F28" s="132"/>
      <c r="G28" s="132"/>
      <c r="H28" s="132"/>
      <c r="I28" s="76"/>
      <c r="J28" s="99"/>
    </row>
    <row r="29" spans="1:10" ht="22.9" customHeight="1" x14ac:dyDescent="0.25">
      <c r="A29" s="125" t="s">
        <v>325</v>
      </c>
      <c r="B29" s="154"/>
      <c r="C29" s="44">
        <f>292+76</f>
        <v>368</v>
      </c>
      <c r="D29" s="105"/>
      <c r="E29" s="136"/>
      <c r="F29" s="136"/>
      <c r="G29" s="136"/>
      <c r="H29" s="136"/>
      <c r="I29" s="106"/>
      <c r="J29" s="107"/>
    </row>
    <row r="30" spans="1:10" x14ac:dyDescent="0.25">
      <c r="A30" s="97"/>
      <c r="B30" s="76"/>
      <c r="C30" s="76"/>
      <c r="D30" s="76"/>
      <c r="E30" s="132"/>
      <c r="F30" s="132"/>
      <c r="G30" s="132"/>
      <c r="H30" s="132"/>
      <c r="I30" s="106"/>
      <c r="J30" s="107"/>
    </row>
    <row r="31" spans="1:10" x14ac:dyDescent="0.25">
      <c r="A31" s="153" t="s">
        <v>316</v>
      </c>
      <c r="B31" s="154"/>
      <c r="C31" s="45" t="s">
        <v>338</v>
      </c>
      <c r="D31" s="152" t="s">
        <v>336</v>
      </c>
      <c r="E31" s="140"/>
      <c r="F31" s="140"/>
      <c r="G31" s="140"/>
      <c r="H31" s="76"/>
      <c r="I31" s="108" t="s">
        <v>337</v>
      </c>
      <c r="J31" s="109" t="s">
        <v>338</v>
      </c>
    </row>
    <row r="32" spans="1:10" x14ac:dyDescent="0.25">
      <c r="A32" s="153"/>
      <c r="B32" s="154"/>
      <c r="C32" s="110"/>
      <c r="D32" s="85"/>
      <c r="E32" s="155"/>
      <c r="F32" s="155"/>
      <c r="G32" s="155"/>
      <c r="H32" s="155"/>
      <c r="I32" s="106"/>
      <c r="J32" s="107"/>
    </row>
    <row r="33" spans="1:10" x14ac:dyDescent="0.25">
      <c r="A33" s="153" t="s">
        <v>326</v>
      </c>
      <c r="B33" s="154"/>
      <c r="C33" s="44" t="s">
        <v>340</v>
      </c>
      <c r="D33" s="152" t="s">
        <v>339</v>
      </c>
      <c r="E33" s="140"/>
      <c r="F33" s="140"/>
      <c r="G33" s="140"/>
      <c r="H33" s="103"/>
      <c r="I33" s="108" t="s">
        <v>340</v>
      </c>
      <c r="J33" s="109" t="s">
        <v>341</v>
      </c>
    </row>
    <row r="34" spans="1:10" x14ac:dyDescent="0.25">
      <c r="A34" s="97"/>
      <c r="B34" s="76"/>
      <c r="C34" s="76"/>
      <c r="D34" s="76"/>
      <c r="E34" s="132"/>
      <c r="F34" s="132"/>
      <c r="G34" s="132"/>
      <c r="H34" s="132"/>
      <c r="I34" s="76"/>
      <c r="J34" s="99"/>
    </row>
    <row r="35" spans="1:10" x14ac:dyDescent="0.25">
      <c r="A35" s="152" t="s">
        <v>327</v>
      </c>
      <c r="B35" s="140"/>
      <c r="C35" s="140"/>
      <c r="D35" s="140"/>
      <c r="E35" s="140" t="s">
        <v>317</v>
      </c>
      <c r="F35" s="140"/>
      <c r="G35" s="140"/>
      <c r="H35" s="140"/>
      <c r="I35" s="140"/>
      <c r="J35" s="111" t="s">
        <v>318</v>
      </c>
    </row>
    <row r="36" spans="1:10" x14ac:dyDescent="0.25">
      <c r="A36" s="97"/>
      <c r="B36" s="76"/>
      <c r="C36" s="76"/>
      <c r="D36" s="76"/>
      <c r="E36" s="132"/>
      <c r="F36" s="132"/>
      <c r="G36" s="132"/>
      <c r="H36" s="132"/>
      <c r="I36" s="76"/>
      <c r="J36" s="107"/>
    </row>
    <row r="37" spans="1:10" x14ac:dyDescent="0.25">
      <c r="A37" s="148" t="s">
        <v>463</v>
      </c>
      <c r="B37" s="149"/>
      <c r="C37" s="149"/>
      <c r="D37" s="149"/>
      <c r="E37" s="148" t="s">
        <v>465</v>
      </c>
      <c r="F37" s="149"/>
      <c r="G37" s="149"/>
      <c r="H37" s="149"/>
      <c r="I37" s="150"/>
      <c r="J37" s="124" t="s">
        <v>464</v>
      </c>
    </row>
    <row r="38" spans="1:10" x14ac:dyDescent="0.25">
      <c r="A38" s="97"/>
      <c r="B38" s="76"/>
      <c r="C38" s="104"/>
      <c r="D38" s="151"/>
      <c r="E38" s="151"/>
      <c r="F38" s="151"/>
      <c r="G38" s="151"/>
      <c r="H38" s="151"/>
      <c r="I38" s="151"/>
      <c r="J38" s="99"/>
    </row>
    <row r="39" spans="1:10" x14ac:dyDescent="0.25">
      <c r="A39" s="148"/>
      <c r="B39" s="149"/>
      <c r="C39" s="149"/>
      <c r="D39" s="150"/>
      <c r="E39" s="148"/>
      <c r="F39" s="149"/>
      <c r="G39" s="149"/>
      <c r="H39" s="149"/>
      <c r="I39" s="150"/>
      <c r="J39" s="44"/>
    </row>
    <row r="40" spans="1:10" x14ac:dyDescent="0.25">
      <c r="A40" s="97"/>
      <c r="B40" s="76"/>
      <c r="C40" s="104"/>
      <c r="D40" s="112"/>
      <c r="E40" s="151"/>
      <c r="F40" s="151"/>
      <c r="G40" s="151"/>
      <c r="H40" s="151"/>
      <c r="I40" s="98"/>
      <c r="J40" s="99"/>
    </row>
    <row r="41" spans="1:10" x14ac:dyDescent="0.25">
      <c r="A41" s="148"/>
      <c r="B41" s="149"/>
      <c r="C41" s="149"/>
      <c r="D41" s="150"/>
      <c r="E41" s="148"/>
      <c r="F41" s="149"/>
      <c r="G41" s="149"/>
      <c r="H41" s="149"/>
      <c r="I41" s="150"/>
      <c r="J41" s="44"/>
    </row>
    <row r="42" spans="1:10" x14ac:dyDescent="0.25">
      <c r="A42" s="97"/>
      <c r="B42" s="76"/>
      <c r="C42" s="104"/>
      <c r="D42" s="112"/>
      <c r="E42" s="151"/>
      <c r="F42" s="151"/>
      <c r="G42" s="151"/>
      <c r="H42" s="151"/>
      <c r="I42" s="98"/>
      <c r="J42" s="99"/>
    </row>
    <row r="43" spans="1:10" x14ac:dyDescent="0.25">
      <c r="A43" s="148"/>
      <c r="B43" s="149"/>
      <c r="C43" s="149"/>
      <c r="D43" s="150"/>
      <c r="E43" s="148"/>
      <c r="F43" s="149"/>
      <c r="G43" s="149"/>
      <c r="H43" s="149"/>
      <c r="I43" s="150"/>
      <c r="J43" s="44"/>
    </row>
    <row r="44" spans="1:10" x14ac:dyDescent="0.25">
      <c r="A44" s="113"/>
      <c r="B44" s="104"/>
      <c r="C44" s="146"/>
      <c r="D44" s="146"/>
      <c r="E44" s="132"/>
      <c r="F44" s="132"/>
      <c r="G44" s="146"/>
      <c r="H44" s="146"/>
      <c r="I44" s="146"/>
      <c r="J44" s="99"/>
    </row>
    <row r="45" spans="1:10" x14ac:dyDescent="0.25">
      <c r="A45" s="148"/>
      <c r="B45" s="149"/>
      <c r="C45" s="149"/>
      <c r="D45" s="150"/>
      <c r="E45" s="148"/>
      <c r="F45" s="149"/>
      <c r="G45" s="149"/>
      <c r="H45" s="149"/>
      <c r="I45" s="150"/>
      <c r="J45" s="44"/>
    </row>
    <row r="46" spans="1:10" x14ac:dyDescent="0.25">
      <c r="A46" s="113"/>
      <c r="B46" s="104"/>
      <c r="C46" s="104"/>
      <c r="D46" s="76"/>
      <c r="E46" s="132"/>
      <c r="F46" s="132"/>
      <c r="G46" s="146"/>
      <c r="H46" s="146"/>
      <c r="I46" s="76"/>
      <c r="J46" s="99"/>
    </row>
    <row r="47" spans="1:10" x14ac:dyDescent="0.25">
      <c r="A47" s="148"/>
      <c r="B47" s="149"/>
      <c r="C47" s="149"/>
      <c r="D47" s="150"/>
      <c r="E47" s="148"/>
      <c r="F47" s="149"/>
      <c r="G47" s="149"/>
      <c r="H47" s="149"/>
      <c r="I47" s="150"/>
      <c r="J47" s="44"/>
    </row>
    <row r="48" spans="1:10" x14ac:dyDescent="0.25">
      <c r="A48" s="113"/>
      <c r="B48" s="104"/>
      <c r="C48" s="104"/>
      <c r="D48" s="76"/>
      <c r="E48" s="132"/>
      <c r="F48" s="132"/>
      <c r="G48" s="146"/>
      <c r="H48" s="146"/>
      <c r="I48" s="76"/>
      <c r="J48" s="114" t="s">
        <v>342</v>
      </c>
    </row>
    <row r="49" spans="1:10" x14ac:dyDescent="0.25">
      <c r="A49" s="113"/>
      <c r="B49" s="104"/>
      <c r="C49" s="104"/>
      <c r="D49" s="76"/>
      <c r="E49" s="132"/>
      <c r="F49" s="132"/>
      <c r="G49" s="146"/>
      <c r="H49" s="146"/>
      <c r="I49" s="76"/>
      <c r="J49" s="114" t="s">
        <v>343</v>
      </c>
    </row>
    <row r="50" spans="1:10" ht="14.45" customHeight="1" x14ac:dyDescent="0.25">
      <c r="A50" s="125" t="s">
        <v>319</v>
      </c>
      <c r="B50" s="126"/>
      <c r="C50" s="142" t="s">
        <v>343</v>
      </c>
      <c r="D50" s="143"/>
      <c r="E50" s="144" t="s">
        <v>344</v>
      </c>
      <c r="F50" s="145"/>
      <c r="G50" s="133"/>
      <c r="H50" s="134"/>
      <c r="I50" s="134"/>
      <c r="J50" s="135"/>
    </row>
    <row r="51" spans="1:10" x14ac:dyDescent="0.25">
      <c r="A51" s="113"/>
      <c r="B51" s="104"/>
      <c r="C51" s="146"/>
      <c r="D51" s="146"/>
      <c r="E51" s="132"/>
      <c r="F51" s="132"/>
      <c r="G51" s="147" t="s">
        <v>345</v>
      </c>
      <c r="H51" s="147"/>
      <c r="I51" s="147"/>
      <c r="J51" s="90"/>
    </row>
    <row r="52" spans="1:10" ht="13.9" customHeight="1" x14ac:dyDescent="0.25">
      <c r="A52" s="125" t="s">
        <v>320</v>
      </c>
      <c r="B52" s="126"/>
      <c r="C52" s="133" t="s">
        <v>458</v>
      </c>
      <c r="D52" s="134"/>
      <c r="E52" s="134"/>
      <c r="F52" s="134"/>
      <c r="G52" s="134"/>
      <c r="H52" s="134"/>
      <c r="I52" s="134"/>
      <c r="J52" s="135"/>
    </row>
    <row r="53" spans="1:10" x14ac:dyDescent="0.25">
      <c r="A53" s="97"/>
      <c r="B53" s="76"/>
      <c r="C53" s="136" t="s">
        <v>321</v>
      </c>
      <c r="D53" s="136"/>
      <c r="E53" s="136"/>
      <c r="F53" s="136"/>
      <c r="G53" s="136"/>
      <c r="H53" s="136"/>
      <c r="I53" s="136"/>
      <c r="J53" s="99"/>
    </row>
    <row r="54" spans="1:10" x14ac:dyDescent="0.25">
      <c r="A54" s="125" t="s">
        <v>322</v>
      </c>
      <c r="B54" s="126"/>
      <c r="C54" s="137" t="s">
        <v>459</v>
      </c>
      <c r="D54" s="138"/>
      <c r="E54" s="139"/>
      <c r="F54" s="132"/>
      <c r="G54" s="132"/>
      <c r="H54" s="140"/>
      <c r="I54" s="140"/>
      <c r="J54" s="141"/>
    </row>
    <row r="55" spans="1:10" x14ac:dyDescent="0.25">
      <c r="A55" s="97"/>
      <c r="B55" s="76"/>
      <c r="C55" s="104"/>
      <c r="D55" s="76"/>
      <c r="E55" s="132"/>
      <c r="F55" s="132"/>
      <c r="G55" s="132"/>
      <c r="H55" s="132"/>
      <c r="I55" s="76"/>
      <c r="J55" s="99"/>
    </row>
    <row r="56" spans="1:10" ht="14.45" customHeight="1" x14ac:dyDescent="0.25">
      <c r="A56" s="125" t="s">
        <v>314</v>
      </c>
      <c r="B56" s="126"/>
      <c r="C56" s="127" t="s">
        <v>460</v>
      </c>
      <c r="D56" s="128"/>
      <c r="E56" s="128"/>
      <c r="F56" s="128"/>
      <c r="G56" s="128"/>
      <c r="H56" s="128"/>
      <c r="I56" s="128"/>
      <c r="J56" s="129"/>
    </row>
    <row r="57" spans="1:10" x14ac:dyDescent="0.25">
      <c r="A57" s="97"/>
      <c r="B57" s="76"/>
      <c r="C57" s="76"/>
      <c r="D57" s="76"/>
      <c r="E57" s="132"/>
      <c r="F57" s="132"/>
      <c r="G57" s="132"/>
      <c r="H57" s="132"/>
      <c r="I57" s="76"/>
      <c r="J57" s="99"/>
    </row>
    <row r="58" spans="1:10" x14ac:dyDescent="0.25">
      <c r="A58" s="125" t="s">
        <v>346</v>
      </c>
      <c r="B58" s="126"/>
      <c r="C58" s="127"/>
      <c r="D58" s="128"/>
      <c r="E58" s="128"/>
      <c r="F58" s="128"/>
      <c r="G58" s="128"/>
      <c r="H58" s="128"/>
      <c r="I58" s="128"/>
      <c r="J58" s="129"/>
    </row>
    <row r="59" spans="1:10" ht="14.45" customHeight="1" x14ac:dyDescent="0.25">
      <c r="A59" s="97"/>
      <c r="B59" s="76"/>
      <c r="C59" s="130" t="s">
        <v>347</v>
      </c>
      <c r="D59" s="130"/>
      <c r="E59" s="130"/>
      <c r="F59" s="130"/>
      <c r="G59" s="76"/>
      <c r="H59" s="76"/>
      <c r="I59" s="76"/>
      <c r="J59" s="99"/>
    </row>
    <row r="60" spans="1:10" x14ac:dyDescent="0.25">
      <c r="A60" s="125" t="s">
        <v>348</v>
      </c>
      <c r="B60" s="126"/>
      <c r="C60" s="127"/>
      <c r="D60" s="128"/>
      <c r="E60" s="128"/>
      <c r="F60" s="128"/>
      <c r="G60" s="128"/>
      <c r="H60" s="128"/>
      <c r="I60" s="128"/>
      <c r="J60" s="129"/>
    </row>
    <row r="61" spans="1:10" ht="14.45" customHeight="1" x14ac:dyDescent="0.25">
      <c r="A61" s="115"/>
      <c r="B61" s="116"/>
      <c r="C61" s="131" t="s">
        <v>349</v>
      </c>
      <c r="D61" s="131"/>
      <c r="E61" s="131"/>
      <c r="F61" s="131"/>
      <c r="G61" s="131"/>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28" sqref="A28:F28"/>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89" t="s">
        <v>1</v>
      </c>
      <c r="B1" s="190"/>
      <c r="C1" s="190"/>
      <c r="D1" s="190"/>
      <c r="E1" s="190"/>
      <c r="F1" s="190"/>
      <c r="G1" s="190"/>
      <c r="H1" s="190"/>
      <c r="I1" s="190"/>
    </row>
    <row r="2" spans="1:9" x14ac:dyDescent="0.2">
      <c r="A2" s="191" t="s">
        <v>466</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471</v>
      </c>
      <c r="B4" s="195"/>
      <c r="C4" s="195"/>
      <c r="D4" s="195"/>
      <c r="E4" s="195"/>
      <c r="F4" s="195"/>
      <c r="G4" s="195"/>
      <c r="H4" s="195"/>
      <c r="I4" s="196"/>
    </row>
    <row r="5" spans="1:9" ht="45" x14ac:dyDescent="0.2">
      <c r="A5" s="199" t="s">
        <v>2</v>
      </c>
      <c r="B5" s="200"/>
      <c r="C5" s="200"/>
      <c r="D5" s="200"/>
      <c r="E5" s="200"/>
      <c r="F5" s="200"/>
      <c r="G5" s="123" t="s">
        <v>101</v>
      </c>
      <c r="H5" s="10" t="s">
        <v>296</v>
      </c>
      <c r="I5" s="10" t="s">
        <v>297</v>
      </c>
    </row>
    <row r="6" spans="1:9" x14ac:dyDescent="0.2">
      <c r="A6" s="197">
        <v>1</v>
      </c>
      <c r="B6" s="198"/>
      <c r="C6" s="198"/>
      <c r="D6" s="198"/>
      <c r="E6" s="198"/>
      <c r="F6" s="198"/>
      <c r="G6" s="122">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19">
        <f>H10+H17+H27+H38+H43</f>
        <v>47295622</v>
      </c>
      <c r="I9" s="119">
        <f>I10+I17+I27+I38+I43</f>
        <v>44228035</v>
      </c>
    </row>
    <row r="10" spans="1:9" ht="12.75" customHeight="1" x14ac:dyDescent="0.2">
      <c r="A10" s="186" t="s">
        <v>5</v>
      </c>
      <c r="B10" s="186"/>
      <c r="C10" s="186"/>
      <c r="D10" s="186"/>
      <c r="E10" s="186"/>
      <c r="F10" s="186"/>
      <c r="G10" s="12">
        <v>3</v>
      </c>
      <c r="H10" s="119">
        <f>H11+H12+H13+H14+H15+H16</f>
        <v>497657</v>
      </c>
      <c r="I10" s="119">
        <f>I11+I12+I13+I14+I15+I16</f>
        <v>485308</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497657</v>
      </c>
      <c r="I12" s="18">
        <f>485308-24000</f>
        <v>461308</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24000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19">
        <f>H18+H19+H20+H21+H22+H23+H24+H25+H26</f>
        <v>46751398</v>
      </c>
      <c r="I17" s="119">
        <f>I18+I19+I20+I21+I22+I23+I24+I25+I26</f>
        <v>43696160</v>
      </c>
    </row>
    <row r="18" spans="1:9" ht="12.75" customHeight="1" x14ac:dyDescent="0.2">
      <c r="A18" s="182" t="s">
        <v>13</v>
      </c>
      <c r="B18" s="182"/>
      <c r="C18" s="182"/>
      <c r="D18" s="182"/>
      <c r="E18" s="182"/>
      <c r="F18" s="182"/>
      <c r="G18" s="11">
        <v>11</v>
      </c>
      <c r="H18" s="18">
        <v>736039</v>
      </c>
      <c r="I18" s="18">
        <f>+'[1]nekons31-3-24'!D89</f>
        <v>736039</v>
      </c>
    </row>
    <row r="19" spans="1:9" ht="12.75" customHeight="1" x14ac:dyDescent="0.2">
      <c r="A19" s="182" t="s">
        <v>14</v>
      </c>
      <c r="B19" s="182"/>
      <c r="C19" s="182"/>
      <c r="D19" s="182"/>
      <c r="E19" s="182"/>
      <c r="F19" s="182"/>
      <c r="G19" s="11">
        <v>12</v>
      </c>
      <c r="H19" s="18">
        <v>537382</v>
      </c>
      <c r="I19" s="18">
        <v>517426</v>
      </c>
    </row>
    <row r="20" spans="1:9" ht="12.75" customHeight="1" x14ac:dyDescent="0.2">
      <c r="A20" s="182" t="s">
        <v>15</v>
      </c>
      <c r="B20" s="182"/>
      <c r="C20" s="182"/>
      <c r="D20" s="182"/>
      <c r="E20" s="182"/>
      <c r="F20" s="182"/>
      <c r="G20" s="11">
        <v>13</v>
      </c>
      <c r="H20" s="18">
        <v>33681759</v>
      </c>
      <c r="I20" s="18">
        <v>30134735</v>
      </c>
    </row>
    <row r="21" spans="1:9" ht="12.75" customHeight="1" x14ac:dyDescent="0.2">
      <c r="A21" s="182" t="s">
        <v>16</v>
      </c>
      <c r="B21" s="182"/>
      <c r="C21" s="182"/>
      <c r="D21" s="182"/>
      <c r="E21" s="182"/>
      <c r="F21" s="182"/>
      <c r="G21" s="11">
        <v>14</v>
      </c>
      <c r="H21" s="18">
        <v>433519</v>
      </c>
      <c r="I21" s="18">
        <v>417796</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11096293</v>
      </c>
      <c r="I24" s="18">
        <v>11623758</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v>266406</v>
      </c>
    </row>
    <row r="27" spans="1:9" ht="12.75" customHeight="1" x14ac:dyDescent="0.2">
      <c r="A27" s="186" t="s">
        <v>22</v>
      </c>
      <c r="B27" s="186"/>
      <c r="C27" s="186"/>
      <c r="D27" s="186"/>
      <c r="E27" s="186"/>
      <c r="F27" s="186"/>
      <c r="G27" s="12">
        <v>20</v>
      </c>
      <c r="H27" s="119">
        <f>SUM(H28:H37)</f>
        <v>32493</v>
      </c>
      <c r="I27" s="119">
        <f>SUM(I28:I37)</f>
        <v>32493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19493</v>
      </c>
      <c r="I34" s="18">
        <v>19493</v>
      </c>
    </row>
    <row r="35" spans="1:9" ht="12.75" customHeight="1" x14ac:dyDescent="0.2">
      <c r="A35" s="182" t="s">
        <v>30</v>
      </c>
      <c r="B35" s="182"/>
      <c r="C35" s="182"/>
      <c r="D35" s="182"/>
      <c r="E35" s="182"/>
      <c r="F35" s="182"/>
      <c r="G35" s="11">
        <v>28</v>
      </c>
      <c r="H35" s="18">
        <v>13000</v>
      </c>
      <c r="I35" s="18">
        <v>13000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19">
        <f>H39+H40+H41+H42</f>
        <v>0</v>
      </c>
      <c r="I38" s="119">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14074</v>
      </c>
      <c r="I43" s="18">
        <v>14074</v>
      </c>
    </row>
    <row r="44" spans="1:9" ht="12.75" customHeight="1" x14ac:dyDescent="0.2">
      <c r="A44" s="184" t="s">
        <v>303</v>
      </c>
      <c r="B44" s="184"/>
      <c r="C44" s="184"/>
      <c r="D44" s="184"/>
      <c r="E44" s="184"/>
      <c r="F44" s="184"/>
      <c r="G44" s="12">
        <v>37</v>
      </c>
      <c r="H44" s="119">
        <f>H45+H53+H60+H70</f>
        <v>28251282</v>
      </c>
      <c r="I44" s="119">
        <f>I45+I53+I60+I70</f>
        <v>31265726</v>
      </c>
    </row>
    <row r="45" spans="1:9" ht="12.75" customHeight="1" x14ac:dyDescent="0.2">
      <c r="A45" s="186" t="s">
        <v>39</v>
      </c>
      <c r="B45" s="186"/>
      <c r="C45" s="186"/>
      <c r="D45" s="186"/>
      <c r="E45" s="186"/>
      <c r="F45" s="186"/>
      <c r="G45" s="12">
        <v>38</v>
      </c>
      <c r="H45" s="119">
        <f>SUM(H46:H52)</f>
        <v>4697906</v>
      </c>
      <c r="I45" s="119">
        <f>SUM(I46:I52)</f>
        <v>4432767</v>
      </c>
    </row>
    <row r="46" spans="1:9" ht="12.75" customHeight="1" x14ac:dyDescent="0.2">
      <c r="A46" s="182" t="s">
        <v>40</v>
      </c>
      <c r="B46" s="182"/>
      <c r="C46" s="182"/>
      <c r="D46" s="182"/>
      <c r="E46" s="182"/>
      <c r="F46" s="182"/>
      <c r="G46" s="11">
        <v>39</v>
      </c>
      <c r="H46" s="18">
        <v>4697906</v>
      </c>
      <c r="I46" s="18">
        <v>4432767</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19">
        <f>SUM(H54:H59)</f>
        <v>12549955</v>
      </c>
      <c r="I53" s="119">
        <f>SUM(I54:I59)</f>
        <v>15975917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5567043</v>
      </c>
      <c r="I56" s="18">
        <v>7595104</v>
      </c>
    </row>
    <row r="57" spans="1:9" ht="12.75" customHeight="1" x14ac:dyDescent="0.2">
      <c r="A57" s="182" t="s">
        <v>51</v>
      </c>
      <c r="B57" s="182"/>
      <c r="C57" s="182"/>
      <c r="D57" s="182"/>
      <c r="E57" s="182"/>
      <c r="F57" s="182"/>
      <c r="G57" s="11">
        <v>50</v>
      </c>
      <c r="H57" s="18">
        <v>94435</v>
      </c>
      <c r="I57" s="18">
        <v>104287</v>
      </c>
    </row>
    <row r="58" spans="1:9" ht="12.75" customHeight="1" x14ac:dyDescent="0.2">
      <c r="A58" s="182" t="s">
        <v>52</v>
      </c>
      <c r="B58" s="182"/>
      <c r="C58" s="182"/>
      <c r="D58" s="182"/>
      <c r="E58" s="182"/>
      <c r="F58" s="182"/>
      <c r="G58" s="11">
        <v>51</v>
      </c>
      <c r="H58" s="18">
        <v>1184433</v>
      </c>
      <c r="I58" s="18">
        <v>1127467</v>
      </c>
    </row>
    <row r="59" spans="1:9" ht="12.75" customHeight="1" x14ac:dyDescent="0.2">
      <c r="A59" s="182" t="s">
        <v>53</v>
      </c>
      <c r="B59" s="182"/>
      <c r="C59" s="182"/>
      <c r="D59" s="182"/>
      <c r="E59" s="182"/>
      <c r="F59" s="182"/>
      <c r="G59" s="11">
        <v>52</v>
      </c>
      <c r="H59" s="18">
        <v>5704044</v>
      </c>
      <c r="I59" s="18">
        <v>7149059</v>
      </c>
    </row>
    <row r="60" spans="1:9" ht="12.75" customHeight="1" x14ac:dyDescent="0.2">
      <c r="A60" s="186" t="s">
        <v>54</v>
      </c>
      <c r="B60" s="186"/>
      <c r="C60" s="186"/>
      <c r="D60" s="186"/>
      <c r="E60" s="186"/>
      <c r="F60" s="186"/>
      <c r="G60" s="12">
        <v>53</v>
      </c>
      <c r="H60" s="119">
        <f>SUM(H61:H69)</f>
        <v>0</v>
      </c>
      <c r="I60" s="119">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11003421</v>
      </c>
      <c r="I70" s="18">
        <v>10857042</v>
      </c>
    </row>
    <row r="71" spans="1:9" ht="12.75" customHeight="1" x14ac:dyDescent="0.2">
      <c r="A71" s="183" t="s">
        <v>58</v>
      </c>
      <c r="B71" s="183"/>
      <c r="C71" s="183"/>
      <c r="D71" s="183"/>
      <c r="E71" s="183"/>
      <c r="F71" s="183"/>
      <c r="G71" s="11">
        <v>64</v>
      </c>
      <c r="H71" s="18">
        <v>2722099</v>
      </c>
      <c r="I71" s="18">
        <v>9539614</v>
      </c>
    </row>
    <row r="72" spans="1:9" ht="12.75" customHeight="1" x14ac:dyDescent="0.2">
      <c r="A72" s="184" t="s">
        <v>304</v>
      </c>
      <c r="B72" s="184"/>
      <c r="C72" s="184"/>
      <c r="D72" s="184"/>
      <c r="E72" s="184"/>
      <c r="F72" s="184"/>
      <c r="G72" s="12">
        <v>65</v>
      </c>
      <c r="H72" s="119">
        <f>H8+H9+H44+H71</f>
        <v>78269003</v>
      </c>
      <c r="I72" s="119">
        <f>I8+I9+I44+I71</f>
        <v>85033375</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0">
        <f>H76+H77+H78+H84+H85+H91+H94+H97</f>
        <v>55436951</v>
      </c>
      <c r="I75" s="120">
        <f>I76+I77+I78+I84+I85+I91+I94+I97</f>
        <v>58700235</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0">
        <f>SUM(H79:H83)</f>
        <v>27662398</v>
      </c>
      <c r="I78" s="120">
        <f>SUM(I79:I83)</f>
        <v>33085804</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25951488</v>
      </c>
      <c r="I83" s="18">
        <v>31374894</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19">
        <f>H86+H87+H88+H89+H90</f>
        <v>0</v>
      </c>
      <c r="I85" s="119">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19">
        <f>H92-H93</f>
        <v>0</v>
      </c>
      <c r="I91" s="119">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19">
        <f>H95-H96</f>
        <v>5426672</v>
      </c>
      <c r="I94" s="119">
        <f>I95-I96</f>
        <v>3263284</v>
      </c>
    </row>
    <row r="95" spans="1:9" ht="12.75" customHeight="1" x14ac:dyDescent="0.2">
      <c r="A95" s="182" t="s">
        <v>74</v>
      </c>
      <c r="B95" s="182"/>
      <c r="C95" s="182"/>
      <c r="D95" s="182"/>
      <c r="E95" s="182"/>
      <c r="F95" s="182"/>
      <c r="G95" s="11">
        <v>87</v>
      </c>
      <c r="H95" s="18">
        <v>5426672</v>
      </c>
      <c r="I95" s="18">
        <v>3263284</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32867</v>
      </c>
      <c r="I97" s="18">
        <v>36133</v>
      </c>
    </row>
    <row r="98" spans="1:9" ht="12.75" customHeight="1" x14ac:dyDescent="0.2">
      <c r="A98" s="184" t="s">
        <v>355</v>
      </c>
      <c r="B98" s="184"/>
      <c r="C98" s="184"/>
      <c r="D98" s="184"/>
      <c r="E98" s="184"/>
      <c r="F98" s="184"/>
      <c r="G98" s="12">
        <v>90</v>
      </c>
      <c r="H98" s="119">
        <f>SUM(H99:H104)</f>
        <v>2056767</v>
      </c>
      <c r="I98" s="119">
        <f>SUM(I99:I104)</f>
        <v>1690691</v>
      </c>
    </row>
    <row r="99" spans="1:9" ht="12.75" customHeight="1" x14ac:dyDescent="0.2">
      <c r="A99" s="182" t="s">
        <v>77</v>
      </c>
      <c r="B99" s="182"/>
      <c r="C99" s="182"/>
      <c r="D99" s="182"/>
      <c r="E99" s="182"/>
      <c r="F99" s="182"/>
      <c r="G99" s="11">
        <v>91</v>
      </c>
      <c r="H99" s="18">
        <v>366076</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1690691</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19">
        <f>SUM(H106:H116)</f>
        <v>720740</v>
      </c>
      <c r="I105" s="119">
        <f>SUM(I106:I116)</f>
        <v>720343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164493</v>
      </c>
      <c r="I111" s="18">
        <v>14342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702076</v>
      </c>
    </row>
    <row r="116" spans="1:9" ht="12.75" customHeight="1" x14ac:dyDescent="0.2">
      <c r="A116" s="182" t="s">
        <v>93</v>
      </c>
      <c r="B116" s="182"/>
      <c r="C116" s="182"/>
      <c r="D116" s="182"/>
      <c r="E116" s="182"/>
      <c r="F116" s="182"/>
      <c r="G116" s="11">
        <v>108</v>
      </c>
      <c r="H116" s="18">
        <v>2620</v>
      </c>
      <c r="I116" s="18">
        <v>2620</v>
      </c>
    </row>
    <row r="117" spans="1:9" ht="12.75" customHeight="1" x14ac:dyDescent="0.2">
      <c r="A117" s="184" t="s">
        <v>357</v>
      </c>
      <c r="B117" s="184"/>
      <c r="C117" s="184"/>
      <c r="D117" s="184"/>
      <c r="E117" s="184"/>
      <c r="F117" s="184"/>
      <c r="G117" s="12">
        <v>109</v>
      </c>
      <c r="H117" s="119">
        <f>SUM(H118:H131)</f>
        <v>11605951</v>
      </c>
      <c r="I117" s="119">
        <f>SUM(I118:I131)</f>
        <v>16356031</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671063</v>
      </c>
      <c r="I123" s="18">
        <v>59215</v>
      </c>
    </row>
    <row r="124" spans="1:9" ht="12.75" customHeight="1" x14ac:dyDescent="0.2">
      <c r="A124" s="182" t="s">
        <v>89</v>
      </c>
      <c r="B124" s="182"/>
      <c r="C124" s="182"/>
      <c r="D124" s="182"/>
      <c r="E124" s="182"/>
      <c r="F124" s="182"/>
      <c r="G124" s="11">
        <v>116</v>
      </c>
      <c r="H124" s="18">
        <v>436946</v>
      </c>
      <c r="I124" s="18">
        <v>0</v>
      </c>
    </row>
    <row r="125" spans="1:9" ht="12.75" customHeight="1" x14ac:dyDescent="0.2">
      <c r="A125" s="182" t="s">
        <v>90</v>
      </c>
      <c r="B125" s="182"/>
      <c r="C125" s="182"/>
      <c r="D125" s="182"/>
      <c r="E125" s="182"/>
      <c r="F125" s="182"/>
      <c r="G125" s="11">
        <v>117</v>
      </c>
      <c r="H125" s="18">
        <v>8494835</v>
      </c>
      <c r="I125" s="18">
        <v>13847158</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642577</v>
      </c>
      <c r="I127" s="18">
        <v>751017</v>
      </c>
    </row>
    <row r="128" spans="1:9" x14ac:dyDescent="0.2">
      <c r="A128" s="182" t="s">
        <v>95</v>
      </c>
      <c r="B128" s="182"/>
      <c r="C128" s="182"/>
      <c r="D128" s="182"/>
      <c r="E128" s="182"/>
      <c r="F128" s="182"/>
      <c r="G128" s="11">
        <v>120</v>
      </c>
      <c r="H128" s="18">
        <v>733937</v>
      </c>
      <c r="I128" s="18">
        <v>964839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626593</v>
      </c>
      <c r="I131" s="18">
        <v>733802</v>
      </c>
    </row>
    <row r="132" spans="1:9" ht="22.15" customHeight="1" x14ac:dyDescent="0.2">
      <c r="A132" s="183" t="s">
        <v>99</v>
      </c>
      <c r="B132" s="183"/>
      <c r="C132" s="183"/>
      <c r="D132" s="183"/>
      <c r="E132" s="183"/>
      <c r="F132" s="183"/>
      <c r="G132" s="11">
        <v>124</v>
      </c>
      <c r="H132" s="18">
        <v>8448594</v>
      </c>
      <c r="I132" s="18">
        <v>7566075</v>
      </c>
    </row>
    <row r="133" spans="1:9" ht="12.75" customHeight="1" x14ac:dyDescent="0.2">
      <c r="A133" s="184" t="s">
        <v>358</v>
      </c>
      <c r="B133" s="184"/>
      <c r="C133" s="184"/>
      <c r="D133" s="184"/>
      <c r="E133" s="184"/>
      <c r="F133" s="184"/>
      <c r="G133" s="12">
        <v>125</v>
      </c>
      <c r="H133" s="119">
        <f>H75+H98+H105+H117+H132</f>
        <v>78269003</v>
      </c>
      <c r="I133" s="119">
        <f>I75+I98+I105+I117+I132</f>
        <v>85033375</v>
      </c>
    </row>
    <row r="134" spans="1:9" x14ac:dyDescent="0.2">
      <c r="A134" s="183" t="s">
        <v>100</v>
      </c>
      <c r="B134" s="183"/>
      <c r="C134" s="183"/>
      <c r="D134" s="183"/>
      <c r="E134" s="183"/>
      <c r="F134" s="183"/>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A4" sqref="A4:K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470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53285521</v>
      </c>
      <c r="I8" s="52">
        <f>SUM(I9:I13)</f>
        <v>28112226</v>
      </c>
      <c r="J8" s="52">
        <f>SUM(J9:J13)</f>
        <v>48958283</v>
      </c>
      <c r="K8" s="52">
        <f>SUM(K9:K13)</f>
        <v>25418857</v>
      </c>
    </row>
    <row r="9" spans="1:11" ht="12.75" customHeight="1" x14ac:dyDescent="0.2">
      <c r="A9" s="182" t="s">
        <v>115</v>
      </c>
      <c r="B9" s="182"/>
      <c r="C9" s="182"/>
      <c r="D9" s="182"/>
      <c r="E9" s="182"/>
      <c r="F9" s="182"/>
      <c r="G9" s="11">
        <v>2</v>
      </c>
      <c r="H9" s="53">
        <v>0</v>
      </c>
      <c r="I9" s="53">
        <f>+H9</f>
        <v>0</v>
      </c>
      <c r="J9" s="53">
        <v>0</v>
      </c>
      <c r="K9" s="53">
        <f t="shared" ref="K9:K12" si="0">+J9</f>
        <v>0</v>
      </c>
    </row>
    <row r="10" spans="1:11" ht="12.75" customHeight="1" x14ac:dyDescent="0.2">
      <c r="A10" s="182" t="s">
        <v>116</v>
      </c>
      <c r="B10" s="182"/>
      <c r="C10" s="182"/>
      <c r="D10" s="182"/>
      <c r="E10" s="182"/>
      <c r="F10" s="182"/>
      <c r="G10" s="11">
        <v>3</v>
      </c>
      <c r="H10" s="53">
        <v>36909231</v>
      </c>
      <c r="I10" s="53">
        <f>+H10-17381652</f>
        <v>19527579</v>
      </c>
      <c r="J10" s="53">
        <v>47546657</v>
      </c>
      <c r="K10" s="53">
        <f>+J10-23066342</f>
        <v>24480315</v>
      </c>
    </row>
    <row r="11" spans="1:11" ht="12.75" customHeight="1" x14ac:dyDescent="0.2">
      <c r="A11" s="182" t="s">
        <v>117</v>
      </c>
      <c r="B11" s="182"/>
      <c r="C11" s="182"/>
      <c r="D11" s="182"/>
      <c r="E11" s="182"/>
      <c r="F11" s="182"/>
      <c r="G11" s="11">
        <v>4</v>
      </c>
      <c r="H11" s="53">
        <v>12626699</v>
      </c>
      <c r="I11" s="53">
        <f>+H11-7523139</f>
        <v>5103560</v>
      </c>
      <c r="J11" s="53">
        <v>527465</v>
      </c>
      <c r="K11" s="53">
        <f>+J11-284126</f>
        <v>243339</v>
      </c>
    </row>
    <row r="12" spans="1:11" ht="12.75" customHeight="1" x14ac:dyDescent="0.2">
      <c r="A12" s="182" t="s">
        <v>118</v>
      </c>
      <c r="B12" s="182"/>
      <c r="C12" s="182"/>
      <c r="D12" s="182"/>
      <c r="E12" s="182"/>
      <c r="F12" s="182"/>
      <c r="G12" s="11">
        <v>5</v>
      </c>
      <c r="H12" s="53">
        <v>0</v>
      </c>
      <c r="I12" s="53">
        <f t="shared" ref="I12" si="1">+H12</f>
        <v>0</v>
      </c>
      <c r="J12" s="53">
        <v>0</v>
      </c>
      <c r="K12" s="53">
        <f t="shared" si="0"/>
        <v>0</v>
      </c>
    </row>
    <row r="13" spans="1:11" ht="12.75" customHeight="1" x14ac:dyDescent="0.2">
      <c r="A13" s="182" t="s">
        <v>119</v>
      </c>
      <c r="B13" s="182"/>
      <c r="C13" s="182"/>
      <c r="D13" s="182"/>
      <c r="E13" s="182"/>
      <c r="F13" s="182"/>
      <c r="G13" s="11">
        <v>6</v>
      </c>
      <c r="H13" s="53">
        <v>3749591</v>
      </c>
      <c r="I13" s="53">
        <f>+H13-268504</f>
        <v>3481087</v>
      </c>
      <c r="J13" s="53">
        <v>884161</v>
      </c>
      <c r="K13" s="53">
        <f>+J13-188958</f>
        <v>695203</v>
      </c>
    </row>
    <row r="14" spans="1:11" ht="12.75" customHeight="1" x14ac:dyDescent="0.2">
      <c r="A14" s="213" t="s">
        <v>360</v>
      </c>
      <c r="B14" s="213"/>
      <c r="C14" s="213"/>
      <c r="D14" s="213"/>
      <c r="E14" s="213"/>
      <c r="F14" s="213"/>
      <c r="G14" s="12">
        <v>7</v>
      </c>
      <c r="H14" s="52">
        <f>H15+H16+H20+H24+H25+H26+H29+H36</f>
        <v>47377891</v>
      </c>
      <c r="I14" s="52">
        <f>I15+I16+I20+I24+I25+I26+I29+I36</f>
        <v>23290964</v>
      </c>
      <c r="J14" s="52">
        <f>J15+J16+J20+J24+J25+J26+J29+J36</f>
        <v>43955667</v>
      </c>
      <c r="K14" s="52">
        <f>K15+K16+K20+K24+K25+K26+K29+K36</f>
        <v>23213736</v>
      </c>
    </row>
    <row r="15" spans="1:11" ht="12.75" customHeight="1" x14ac:dyDescent="0.2">
      <c r="A15" s="182" t="s">
        <v>104</v>
      </c>
      <c r="B15" s="182"/>
      <c r="C15" s="182"/>
      <c r="D15" s="182"/>
      <c r="E15" s="182"/>
      <c r="F15" s="182"/>
      <c r="G15" s="11">
        <v>8</v>
      </c>
      <c r="H15" s="53">
        <v>0</v>
      </c>
      <c r="I15" s="53">
        <f t="shared" ref="I15:I28" si="2">+H15-0</f>
        <v>0</v>
      </c>
      <c r="J15" s="53">
        <v>0</v>
      </c>
      <c r="K15" s="53">
        <f t="shared" ref="K15:K59" si="3">+J15-0</f>
        <v>0</v>
      </c>
    </row>
    <row r="16" spans="1:11" ht="12.75" customHeight="1" x14ac:dyDescent="0.2">
      <c r="A16" s="186" t="s">
        <v>440</v>
      </c>
      <c r="B16" s="186"/>
      <c r="C16" s="186"/>
      <c r="D16" s="186"/>
      <c r="E16" s="186"/>
      <c r="F16" s="186"/>
      <c r="G16" s="12">
        <v>9</v>
      </c>
      <c r="H16" s="52">
        <f>SUM(H17:H19)</f>
        <v>37364049</v>
      </c>
      <c r="I16" s="52">
        <f>SUM(I17:I19)</f>
        <v>18086258</v>
      </c>
      <c r="J16" s="52">
        <f>SUM(J17:J19)</f>
        <v>32668534</v>
      </c>
      <c r="K16" s="52">
        <f>SUM(K17:K19)</f>
        <v>17575570</v>
      </c>
    </row>
    <row r="17" spans="1:11" ht="12.75" customHeight="1" x14ac:dyDescent="0.2">
      <c r="A17" s="216" t="s">
        <v>120</v>
      </c>
      <c r="B17" s="216"/>
      <c r="C17" s="216"/>
      <c r="D17" s="216"/>
      <c r="E17" s="216"/>
      <c r="F17" s="216"/>
      <c r="G17" s="11">
        <v>10</v>
      </c>
      <c r="H17" s="53">
        <v>8920989</v>
      </c>
      <c r="I17" s="53">
        <f>+H17-5832145</f>
        <v>3088844</v>
      </c>
      <c r="J17" s="53">
        <v>4834633</v>
      </c>
      <c r="K17" s="53">
        <f>+J17-2967613</f>
        <v>1867020</v>
      </c>
    </row>
    <row r="18" spans="1:11" ht="12.75" customHeight="1" x14ac:dyDescent="0.2">
      <c r="A18" s="216" t="s">
        <v>121</v>
      </c>
      <c r="B18" s="216"/>
      <c r="C18" s="216"/>
      <c r="D18" s="216"/>
      <c r="E18" s="216"/>
      <c r="F18" s="216"/>
      <c r="G18" s="11">
        <v>11</v>
      </c>
      <c r="H18" s="53">
        <v>0</v>
      </c>
      <c r="I18" s="53">
        <f t="shared" ref="I18" si="4">+H18</f>
        <v>0</v>
      </c>
      <c r="J18" s="53">
        <v>0</v>
      </c>
      <c r="K18" s="53">
        <f t="shared" ref="K18" si="5">+J18</f>
        <v>0</v>
      </c>
    </row>
    <row r="19" spans="1:11" ht="12.75" customHeight="1" x14ac:dyDescent="0.2">
      <c r="A19" s="216" t="s">
        <v>122</v>
      </c>
      <c r="B19" s="216"/>
      <c r="C19" s="216"/>
      <c r="D19" s="216"/>
      <c r="E19" s="216"/>
      <c r="F19" s="216"/>
      <c r="G19" s="11">
        <v>12</v>
      </c>
      <c r="H19" s="53">
        <v>28443060</v>
      </c>
      <c r="I19" s="53">
        <f>+H19-13445646</f>
        <v>14997414</v>
      </c>
      <c r="J19" s="53">
        <v>27833901</v>
      </c>
      <c r="K19" s="53">
        <f>+J19-12125351</f>
        <v>15708550</v>
      </c>
    </row>
    <row r="20" spans="1:11" ht="12.75" customHeight="1" x14ac:dyDescent="0.2">
      <c r="A20" s="186" t="s">
        <v>441</v>
      </c>
      <c r="B20" s="186"/>
      <c r="C20" s="186"/>
      <c r="D20" s="186"/>
      <c r="E20" s="186"/>
      <c r="F20" s="186"/>
      <c r="G20" s="12">
        <v>13</v>
      </c>
      <c r="H20" s="52">
        <f>SUM(H21:H23)</f>
        <v>6086580</v>
      </c>
      <c r="I20" s="52">
        <f>SUM(I21:I23)</f>
        <v>3120609</v>
      </c>
      <c r="J20" s="52">
        <f>SUM(J21:J23)</f>
        <v>6584103</v>
      </c>
      <c r="K20" s="52">
        <f>SUM(K21:K23)</f>
        <v>3384345</v>
      </c>
    </row>
    <row r="21" spans="1:11" ht="12.75" customHeight="1" x14ac:dyDescent="0.2">
      <c r="A21" s="216" t="s">
        <v>105</v>
      </c>
      <c r="B21" s="216"/>
      <c r="C21" s="216"/>
      <c r="D21" s="216"/>
      <c r="E21" s="216"/>
      <c r="F21" s="216"/>
      <c r="G21" s="11">
        <v>14</v>
      </c>
      <c r="H21" s="53">
        <v>3805796</v>
      </c>
      <c r="I21" s="53">
        <f>+H21-1857439</f>
        <v>1948357</v>
      </c>
      <c r="J21" s="53">
        <v>4132500</v>
      </c>
      <c r="K21" s="53">
        <f>+J21-2002210</f>
        <v>2130290</v>
      </c>
    </row>
    <row r="22" spans="1:11" ht="12.75" customHeight="1" x14ac:dyDescent="0.2">
      <c r="A22" s="216" t="s">
        <v>106</v>
      </c>
      <c r="B22" s="216"/>
      <c r="C22" s="216"/>
      <c r="D22" s="216"/>
      <c r="E22" s="216"/>
      <c r="F22" s="216"/>
      <c r="G22" s="11">
        <v>15</v>
      </c>
      <c r="H22" s="53">
        <v>1453633</v>
      </c>
      <c r="I22" s="53">
        <f>+H22-705055</f>
        <v>748578</v>
      </c>
      <c r="J22" s="53">
        <v>1563295</v>
      </c>
      <c r="K22" s="53">
        <f>+J22-762198</f>
        <v>801097</v>
      </c>
    </row>
    <row r="23" spans="1:11" ht="12.75" customHeight="1" x14ac:dyDescent="0.2">
      <c r="A23" s="216" t="s">
        <v>107</v>
      </c>
      <c r="B23" s="216"/>
      <c r="C23" s="216"/>
      <c r="D23" s="216"/>
      <c r="E23" s="216"/>
      <c r="F23" s="216"/>
      <c r="G23" s="11">
        <v>16</v>
      </c>
      <c r="H23" s="53">
        <v>827151</v>
      </c>
      <c r="I23" s="53">
        <f>+H23-403477</f>
        <v>423674</v>
      </c>
      <c r="J23" s="53">
        <v>888308</v>
      </c>
      <c r="K23" s="53">
        <f>+J23-435350</f>
        <v>452958</v>
      </c>
    </row>
    <row r="24" spans="1:11" ht="12.75" customHeight="1" x14ac:dyDescent="0.2">
      <c r="A24" s="182" t="s">
        <v>108</v>
      </c>
      <c r="B24" s="182"/>
      <c r="C24" s="182"/>
      <c r="D24" s="182"/>
      <c r="E24" s="182"/>
      <c r="F24" s="182"/>
      <c r="G24" s="11">
        <v>17</v>
      </c>
      <c r="H24" s="53">
        <v>3031386</v>
      </c>
      <c r="I24" s="53">
        <f>+H24-1513098</f>
        <v>1518288</v>
      </c>
      <c r="J24" s="53">
        <v>3917517</v>
      </c>
      <c r="K24" s="53">
        <f>+J24-1970888</f>
        <v>1946629</v>
      </c>
    </row>
    <row r="25" spans="1:11" ht="12.75" customHeight="1" x14ac:dyDescent="0.2">
      <c r="A25" s="182" t="s">
        <v>109</v>
      </c>
      <c r="B25" s="182"/>
      <c r="C25" s="182"/>
      <c r="D25" s="182"/>
      <c r="E25" s="182"/>
      <c r="F25" s="182"/>
      <c r="G25" s="11">
        <v>18</v>
      </c>
      <c r="H25" s="53">
        <v>635237</v>
      </c>
      <c r="I25" s="53">
        <f>+H25-328106</f>
        <v>307131</v>
      </c>
      <c r="J25" s="53">
        <v>760865</v>
      </c>
      <c r="K25" s="53">
        <f>+J25-470113</f>
        <v>290752</v>
      </c>
    </row>
    <row r="26" spans="1:11" ht="12.75" customHeight="1" x14ac:dyDescent="0.2">
      <c r="A26" s="186" t="s">
        <v>442</v>
      </c>
      <c r="B26" s="186"/>
      <c r="C26" s="186"/>
      <c r="D26" s="186"/>
      <c r="E26" s="186"/>
      <c r="F26" s="186"/>
      <c r="G26" s="12">
        <v>19</v>
      </c>
      <c r="H26" s="52">
        <f>H27+H28</f>
        <v>50000</v>
      </c>
      <c r="I26" s="52">
        <f>I27+I28</f>
        <v>50000</v>
      </c>
      <c r="J26" s="52">
        <f>J27+J28</f>
        <v>0</v>
      </c>
      <c r="K26" s="52">
        <f>K27+K28</f>
        <v>0</v>
      </c>
    </row>
    <row r="27" spans="1:11" ht="12.75" customHeight="1" x14ac:dyDescent="0.2">
      <c r="A27" s="216" t="s">
        <v>123</v>
      </c>
      <c r="B27" s="216"/>
      <c r="C27" s="216"/>
      <c r="D27" s="216"/>
      <c r="E27" s="216"/>
      <c r="F27" s="216"/>
      <c r="G27" s="11">
        <v>20</v>
      </c>
      <c r="H27" s="53">
        <v>0</v>
      </c>
      <c r="I27" s="53">
        <f t="shared" si="2"/>
        <v>0</v>
      </c>
      <c r="J27" s="53">
        <v>0</v>
      </c>
      <c r="K27" s="53">
        <f t="shared" si="3"/>
        <v>0</v>
      </c>
    </row>
    <row r="28" spans="1:11" ht="12.75" customHeight="1" x14ac:dyDescent="0.2">
      <c r="A28" s="216" t="s">
        <v>124</v>
      </c>
      <c r="B28" s="216"/>
      <c r="C28" s="216"/>
      <c r="D28" s="216"/>
      <c r="E28" s="216"/>
      <c r="F28" s="216"/>
      <c r="G28" s="11">
        <v>21</v>
      </c>
      <c r="H28" s="53">
        <v>50000</v>
      </c>
      <c r="I28" s="53">
        <f t="shared" si="2"/>
        <v>50000</v>
      </c>
      <c r="J28" s="53">
        <v>0</v>
      </c>
      <c r="K28" s="53">
        <f t="shared" si="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f t="shared" ref="I30:I35" si="6">+H30</f>
        <v>0</v>
      </c>
      <c r="J30" s="53">
        <v>0</v>
      </c>
      <c r="K30" s="53">
        <f t="shared" si="3"/>
        <v>0</v>
      </c>
    </row>
    <row r="31" spans="1:11" ht="12.75" customHeight="1" x14ac:dyDescent="0.2">
      <c r="A31" s="216" t="s">
        <v>126</v>
      </c>
      <c r="B31" s="216"/>
      <c r="C31" s="216"/>
      <c r="D31" s="216"/>
      <c r="E31" s="216"/>
      <c r="F31" s="216"/>
      <c r="G31" s="11">
        <v>24</v>
      </c>
      <c r="H31" s="53">
        <v>0</v>
      </c>
      <c r="I31" s="53">
        <f t="shared" si="6"/>
        <v>0</v>
      </c>
      <c r="J31" s="53">
        <v>0</v>
      </c>
      <c r="K31" s="53">
        <f t="shared" si="3"/>
        <v>0</v>
      </c>
    </row>
    <row r="32" spans="1:11" ht="12.75" customHeight="1" x14ac:dyDescent="0.2">
      <c r="A32" s="216" t="s">
        <v>127</v>
      </c>
      <c r="B32" s="216"/>
      <c r="C32" s="216"/>
      <c r="D32" s="216"/>
      <c r="E32" s="216"/>
      <c r="F32" s="216"/>
      <c r="G32" s="11">
        <v>25</v>
      </c>
      <c r="H32" s="53">
        <v>0</v>
      </c>
      <c r="I32" s="53">
        <f t="shared" si="6"/>
        <v>0</v>
      </c>
      <c r="J32" s="53">
        <v>0</v>
      </c>
      <c r="K32" s="53">
        <v>0</v>
      </c>
    </row>
    <row r="33" spans="1:11" ht="12.75" customHeight="1" x14ac:dyDescent="0.2">
      <c r="A33" s="216" t="s">
        <v>128</v>
      </c>
      <c r="B33" s="216"/>
      <c r="C33" s="216"/>
      <c r="D33" s="216"/>
      <c r="E33" s="216"/>
      <c r="F33" s="216"/>
      <c r="G33" s="11">
        <v>26</v>
      </c>
      <c r="H33" s="53">
        <v>0</v>
      </c>
      <c r="I33" s="53">
        <f t="shared" si="6"/>
        <v>0</v>
      </c>
      <c r="J33" s="53">
        <v>0</v>
      </c>
      <c r="K33" s="53">
        <f t="shared" si="3"/>
        <v>0</v>
      </c>
    </row>
    <row r="34" spans="1:11" ht="12.75" customHeight="1" x14ac:dyDescent="0.2">
      <c r="A34" s="216" t="s">
        <v>129</v>
      </c>
      <c r="B34" s="216"/>
      <c r="C34" s="216"/>
      <c r="D34" s="216"/>
      <c r="E34" s="216"/>
      <c r="F34" s="216"/>
      <c r="G34" s="11">
        <v>27</v>
      </c>
      <c r="H34" s="53">
        <v>0</v>
      </c>
      <c r="I34" s="53">
        <f t="shared" si="6"/>
        <v>0</v>
      </c>
      <c r="J34" s="53">
        <v>0</v>
      </c>
      <c r="K34" s="53">
        <f t="shared" si="3"/>
        <v>0</v>
      </c>
    </row>
    <row r="35" spans="1:11" ht="12.75" customHeight="1" x14ac:dyDescent="0.2">
      <c r="A35" s="216" t="s">
        <v>130</v>
      </c>
      <c r="B35" s="216"/>
      <c r="C35" s="216"/>
      <c r="D35" s="216"/>
      <c r="E35" s="216"/>
      <c r="F35" s="216"/>
      <c r="G35" s="11">
        <v>28</v>
      </c>
      <c r="H35" s="53">
        <v>0</v>
      </c>
      <c r="I35" s="53">
        <f t="shared" si="6"/>
        <v>0</v>
      </c>
      <c r="J35" s="53">
        <v>0</v>
      </c>
      <c r="K35" s="53">
        <f t="shared" si="3"/>
        <v>0</v>
      </c>
    </row>
    <row r="36" spans="1:11" ht="12.75" customHeight="1" x14ac:dyDescent="0.2">
      <c r="A36" s="182" t="s">
        <v>110</v>
      </c>
      <c r="B36" s="182"/>
      <c r="C36" s="182"/>
      <c r="D36" s="182"/>
      <c r="E36" s="182"/>
      <c r="F36" s="182"/>
      <c r="G36" s="11">
        <v>29</v>
      </c>
      <c r="H36" s="53">
        <v>210639</v>
      </c>
      <c r="I36" s="53">
        <f>+H36-1961</f>
        <v>208678</v>
      </c>
      <c r="J36" s="53">
        <v>24648</v>
      </c>
      <c r="K36" s="53">
        <f>+J36-8208</f>
        <v>16440</v>
      </c>
    </row>
    <row r="37" spans="1:11" ht="12.75" customHeight="1" x14ac:dyDescent="0.2">
      <c r="A37" s="213" t="s">
        <v>361</v>
      </c>
      <c r="B37" s="213"/>
      <c r="C37" s="213"/>
      <c r="D37" s="213"/>
      <c r="E37" s="213"/>
      <c r="F37" s="213"/>
      <c r="G37" s="12">
        <v>30</v>
      </c>
      <c r="H37" s="52">
        <f>SUM(H38:H47)</f>
        <v>494768</v>
      </c>
      <c r="I37" s="52">
        <f>SUM(I38:I47)</f>
        <v>137426</v>
      </c>
      <c r="J37" s="52">
        <f>SUM(J38:J47)</f>
        <v>37326</v>
      </c>
      <c r="K37" s="52">
        <f>SUM(K38:K47)</f>
        <v>26320</v>
      </c>
    </row>
    <row r="38" spans="1:11" ht="12.75" customHeight="1" x14ac:dyDescent="0.2">
      <c r="A38" s="182" t="s">
        <v>131</v>
      </c>
      <c r="B38" s="182"/>
      <c r="C38" s="182"/>
      <c r="D38" s="182"/>
      <c r="E38" s="182"/>
      <c r="F38" s="182"/>
      <c r="G38" s="11">
        <v>31</v>
      </c>
      <c r="H38" s="53">
        <v>0</v>
      </c>
      <c r="I38" s="53">
        <f t="shared" ref="I38:I47" si="7">+H38</f>
        <v>0</v>
      </c>
      <c r="J38" s="53">
        <v>0</v>
      </c>
      <c r="K38" s="53">
        <f t="shared" si="3"/>
        <v>0</v>
      </c>
    </row>
    <row r="39" spans="1:11" ht="25.15" customHeight="1" x14ac:dyDescent="0.2">
      <c r="A39" s="182" t="s">
        <v>132</v>
      </c>
      <c r="B39" s="182"/>
      <c r="C39" s="182"/>
      <c r="D39" s="182"/>
      <c r="E39" s="182"/>
      <c r="F39" s="182"/>
      <c r="G39" s="11">
        <v>32</v>
      </c>
      <c r="H39" s="53">
        <v>0</v>
      </c>
      <c r="I39" s="53">
        <f t="shared" si="7"/>
        <v>0</v>
      </c>
      <c r="J39" s="53">
        <v>0</v>
      </c>
      <c r="K39" s="53">
        <f t="shared" si="3"/>
        <v>0</v>
      </c>
    </row>
    <row r="40" spans="1:11" ht="25.15" customHeight="1" x14ac:dyDescent="0.2">
      <c r="A40" s="182" t="s">
        <v>133</v>
      </c>
      <c r="B40" s="182"/>
      <c r="C40" s="182"/>
      <c r="D40" s="182"/>
      <c r="E40" s="182"/>
      <c r="F40" s="182"/>
      <c r="G40" s="11">
        <v>33</v>
      </c>
      <c r="H40" s="53">
        <v>0</v>
      </c>
      <c r="I40" s="53">
        <f t="shared" si="7"/>
        <v>0</v>
      </c>
      <c r="J40" s="53">
        <v>0</v>
      </c>
      <c r="K40" s="53">
        <f t="shared" si="3"/>
        <v>0</v>
      </c>
    </row>
    <row r="41" spans="1:11" ht="25.15" customHeight="1" x14ac:dyDescent="0.2">
      <c r="A41" s="182" t="s">
        <v>134</v>
      </c>
      <c r="B41" s="182"/>
      <c r="C41" s="182"/>
      <c r="D41" s="182"/>
      <c r="E41" s="182"/>
      <c r="F41" s="182"/>
      <c r="G41" s="11">
        <v>34</v>
      </c>
      <c r="H41" s="53">
        <v>0</v>
      </c>
      <c r="I41" s="53">
        <f t="shared" si="7"/>
        <v>0</v>
      </c>
      <c r="J41" s="53">
        <v>0</v>
      </c>
      <c r="K41" s="53">
        <f t="shared" si="3"/>
        <v>0</v>
      </c>
    </row>
    <row r="42" spans="1:11" ht="25.15" customHeight="1" x14ac:dyDescent="0.2">
      <c r="A42" s="182" t="s">
        <v>135</v>
      </c>
      <c r="B42" s="182"/>
      <c r="C42" s="182"/>
      <c r="D42" s="182"/>
      <c r="E42" s="182"/>
      <c r="F42" s="182"/>
      <c r="G42" s="11">
        <v>35</v>
      </c>
      <c r="H42" s="53">
        <v>0</v>
      </c>
      <c r="I42" s="53">
        <f t="shared" si="7"/>
        <v>0</v>
      </c>
      <c r="J42" s="53">
        <v>0</v>
      </c>
      <c r="K42" s="53">
        <f t="shared" si="3"/>
        <v>0</v>
      </c>
    </row>
    <row r="43" spans="1:11" ht="12.75" customHeight="1" x14ac:dyDescent="0.2">
      <c r="A43" s="182" t="s">
        <v>136</v>
      </c>
      <c r="B43" s="182"/>
      <c r="C43" s="182"/>
      <c r="D43" s="182"/>
      <c r="E43" s="182"/>
      <c r="F43" s="182"/>
      <c r="G43" s="11">
        <v>36</v>
      </c>
      <c r="H43" s="53">
        <v>0</v>
      </c>
      <c r="I43" s="53">
        <f t="shared" si="7"/>
        <v>0</v>
      </c>
      <c r="J43" s="53">
        <v>0</v>
      </c>
      <c r="K43" s="53">
        <f t="shared" si="3"/>
        <v>0</v>
      </c>
    </row>
    <row r="44" spans="1:11" ht="12.75" customHeight="1" x14ac:dyDescent="0.2">
      <c r="A44" s="182" t="s">
        <v>137</v>
      </c>
      <c r="B44" s="182"/>
      <c r="C44" s="182"/>
      <c r="D44" s="182"/>
      <c r="E44" s="182"/>
      <c r="F44" s="182"/>
      <c r="G44" s="11">
        <v>37</v>
      </c>
      <c r="H44" s="53">
        <v>79047</v>
      </c>
      <c r="I44" s="53">
        <f>+H44-60103</f>
        <v>18944</v>
      </c>
      <c r="J44" s="53">
        <v>36433</v>
      </c>
      <c r="K44" s="53">
        <f>+J44-11006</f>
        <v>25427</v>
      </c>
    </row>
    <row r="45" spans="1:11" ht="12.75" customHeight="1" x14ac:dyDescent="0.2">
      <c r="A45" s="182" t="s">
        <v>138</v>
      </c>
      <c r="B45" s="182"/>
      <c r="C45" s="182"/>
      <c r="D45" s="182"/>
      <c r="E45" s="182"/>
      <c r="F45" s="182"/>
      <c r="G45" s="11">
        <v>38</v>
      </c>
      <c r="H45" s="53">
        <v>414903</v>
      </c>
      <c r="I45" s="53">
        <f>+H45-297239</f>
        <v>117664</v>
      </c>
      <c r="J45" s="53">
        <v>0</v>
      </c>
      <c r="K45" s="53">
        <f>+J45</f>
        <v>0</v>
      </c>
    </row>
    <row r="46" spans="1:11" ht="12.75" customHeight="1" x14ac:dyDescent="0.2">
      <c r="A46" s="182" t="s">
        <v>139</v>
      </c>
      <c r="B46" s="182"/>
      <c r="C46" s="182"/>
      <c r="D46" s="182"/>
      <c r="E46" s="182"/>
      <c r="F46" s="182"/>
      <c r="G46" s="11">
        <v>39</v>
      </c>
      <c r="H46" s="53">
        <v>0</v>
      </c>
      <c r="I46" s="53">
        <f t="shared" si="7"/>
        <v>0</v>
      </c>
      <c r="J46" s="53">
        <v>0</v>
      </c>
      <c r="K46" s="53">
        <f t="shared" si="3"/>
        <v>0</v>
      </c>
    </row>
    <row r="47" spans="1:11" ht="12.75" customHeight="1" x14ac:dyDescent="0.2">
      <c r="A47" s="182" t="s">
        <v>140</v>
      </c>
      <c r="B47" s="182"/>
      <c r="C47" s="182"/>
      <c r="D47" s="182"/>
      <c r="E47" s="182"/>
      <c r="F47" s="182"/>
      <c r="G47" s="11">
        <v>40</v>
      </c>
      <c r="H47" s="53">
        <v>818</v>
      </c>
      <c r="I47" s="53">
        <f t="shared" si="7"/>
        <v>818</v>
      </c>
      <c r="J47" s="53">
        <v>893</v>
      </c>
      <c r="K47" s="53">
        <f>+J47-0</f>
        <v>893</v>
      </c>
    </row>
    <row r="48" spans="1:11" ht="12.75" customHeight="1" x14ac:dyDescent="0.2">
      <c r="A48" s="213" t="s">
        <v>362</v>
      </c>
      <c r="B48" s="213"/>
      <c r="C48" s="213"/>
      <c r="D48" s="213"/>
      <c r="E48" s="213"/>
      <c r="F48" s="213"/>
      <c r="G48" s="12">
        <v>41</v>
      </c>
      <c r="H48" s="52">
        <f>SUM(H49:H55)</f>
        <v>14796</v>
      </c>
      <c r="I48" s="52">
        <f>SUM(I49:I55)</f>
        <v>6896</v>
      </c>
      <c r="J48" s="52">
        <f>SUM(J49:J55)</f>
        <v>1027613</v>
      </c>
      <c r="K48" s="52">
        <f>SUM(K49:K55)</f>
        <v>747828</v>
      </c>
    </row>
    <row r="49" spans="1:11" ht="25.15" customHeight="1" x14ac:dyDescent="0.2">
      <c r="A49" s="182" t="s">
        <v>141</v>
      </c>
      <c r="B49" s="182"/>
      <c r="C49" s="182"/>
      <c r="D49" s="182"/>
      <c r="E49" s="182"/>
      <c r="F49" s="182"/>
      <c r="G49" s="11">
        <v>42</v>
      </c>
      <c r="H49" s="53">
        <v>0</v>
      </c>
      <c r="I49" s="53">
        <f t="shared" ref="I49:I59" si="8">+H49</f>
        <v>0</v>
      </c>
      <c r="J49" s="53">
        <v>0</v>
      </c>
      <c r="K49" s="53">
        <f t="shared" si="3"/>
        <v>0</v>
      </c>
    </row>
    <row r="50" spans="1:11" ht="12.75" customHeight="1" x14ac:dyDescent="0.2">
      <c r="A50" s="206" t="s">
        <v>142</v>
      </c>
      <c r="B50" s="206"/>
      <c r="C50" s="206"/>
      <c r="D50" s="206"/>
      <c r="E50" s="206"/>
      <c r="F50" s="206"/>
      <c r="G50" s="11">
        <v>43</v>
      </c>
      <c r="H50" s="53">
        <v>0</v>
      </c>
      <c r="I50" s="53">
        <f t="shared" si="8"/>
        <v>0</v>
      </c>
      <c r="J50" s="53">
        <v>0</v>
      </c>
      <c r="K50" s="53">
        <f t="shared" si="3"/>
        <v>0</v>
      </c>
    </row>
    <row r="51" spans="1:11" ht="12.75" customHeight="1" x14ac:dyDescent="0.2">
      <c r="A51" s="206" t="s">
        <v>143</v>
      </c>
      <c r="B51" s="206"/>
      <c r="C51" s="206"/>
      <c r="D51" s="206"/>
      <c r="E51" s="206"/>
      <c r="F51" s="206"/>
      <c r="G51" s="11">
        <v>44</v>
      </c>
      <c r="H51" s="53">
        <v>14796</v>
      </c>
      <c r="I51" s="53">
        <f>+H51-7900</f>
        <v>6896</v>
      </c>
      <c r="J51" s="53">
        <v>8023</v>
      </c>
      <c r="K51" s="53">
        <f>+J51-4371</f>
        <v>3652</v>
      </c>
    </row>
    <row r="52" spans="1:11" ht="12.75" customHeight="1" x14ac:dyDescent="0.2">
      <c r="A52" s="206" t="s">
        <v>144</v>
      </c>
      <c r="B52" s="206"/>
      <c r="C52" s="206"/>
      <c r="D52" s="206"/>
      <c r="E52" s="206"/>
      <c r="F52" s="206"/>
      <c r="G52" s="11">
        <v>45</v>
      </c>
      <c r="H52" s="53">
        <v>0</v>
      </c>
      <c r="I52" s="53">
        <f t="shared" si="8"/>
        <v>0</v>
      </c>
      <c r="J52" s="53">
        <v>1019590</v>
      </c>
      <c r="K52" s="53">
        <f>+J52-275414</f>
        <v>744176</v>
      </c>
    </row>
    <row r="53" spans="1:11" ht="12.75" customHeight="1" x14ac:dyDescent="0.2">
      <c r="A53" s="206" t="s">
        <v>145</v>
      </c>
      <c r="B53" s="206"/>
      <c r="C53" s="206"/>
      <c r="D53" s="206"/>
      <c r="E53" s="206"/>
      <c r="F53" s="206"/>
      <c r="G53" s="11">
        <v>46</v>
      </c>
      <c r="H53" s="53">
        <v>0</v>
      </c>
      <c r="I53" s="53">
        <f t="shared" si="8"/>
        <v>0</v>
      </c>
      <c r="J53" s="53">
        <v>0</v>
      </c>
      <c r="K53" s="53">
        <f t="shared" si="3"/>
        <v>0</v>
      </c>
    </row>
    <row r="54" spans="1:11" ht="12.75" customHeight="1" x14ac:dyDescent="0.2">
      <c r="A54" s="206" t="s">
        <v>146</v>
      </c>
      <c r="B54" s="206"/>
      <c r="C54" s="206"/>
      <c r="D54" s="206"/>
      <c r="E54" s="206"/>
      <c r="F54" s="206"/>
      <c r="G54" s="11">
        <v>47</v>
      </c>
      <c r="H54" s="53">
        <v>0</v>
      </c>
      <c r="I54" s="53">
        <f t="shared" si="8"/>
        <v>0</v>
      </c>
      <c r="J54" s="53">
        <v>0</v>
      </c>
      <c r="K54" s="53">
        <f t="shared" si="3"/>
        <v>0</v>
      </c>
    </row>
    <row r="55" spans="1:11" ht="12.75" customHeight="1" x14ac:dyDescent="0.2">
      <c r="A55" s="206" t="s">
        <v>147</v>
      </c>
      <c r="B55" s="206"/>
      <c r="C55" s="206"/>
      <c r="D55" s="206"/>
      <c r="E55" s="206"/>
      <c r="F55" s="206"/>
      <c r="G55" s="11">
        <v>48</v>
      </c>
      <c r="H55" s="53">
        <v>0</v>
      </c>
      <c r="I55" s="53">
        <f t="shared" si="8"/>
        <v>0</v>
      </c>
      <c r="J55" s="53">
        <v>0</v>
      </c>
      <c r="K55" s="53">
        <f t="shared" si="3"/>
        <v>0</v>
      </c>
    </row>
    <row r="56" spans="1:11" ht="22.15" customHeight="1" x14ac:dyDescent="0.2">
      <c r="A56" s="215" t="s">
        <v>148</v>
      </c>
      <c r="B56" s="215"/>
      <c r="C56" s="215"/>
      <c r="D56" s="215"/>
      <c r="E56" s="215"/>
      <c r="F56" s="215"/>
      <c r="G56" s="11">
        <v>49</v>
      </c>
      <c r="H56" s="53">
        <v>0</v>
      </c>
      <c r="I56" s="53">
        <f t="shared" si="8"/>
        <v>0</v>
      </c>
      <c r="J56" s="53">
        <v>0</v>
      </c>
      <c r="K56" s="53">
        <f t="shared" si="3"/>
        <v>0</v>
      </c>
    </row>
    <row r="57" spans="1:11" ht="12.75" customHeight="1" x14ac:dyDescent="0.2">
      <c r="A57" s="215" t="s">
        <v>149</v>
      </c>
      <c r="B57" s="215"/>
      <c r="C57" s="215"/>
      <c r="D57" s="215"/>
      <c r="E57" s="215"/>
      <c r="F57" s="215"/>
      <c r="G57" s="11">
        <v>50</v>
      </c>
      <c r="H57" s="53">
        <v>0</v>
      </c>
      <c r="I57" s="53">
        <f t="shared" si="8"/>
        <v>0</v>
      </c>
      <c r="J57" s="53">
        <v>0</v>
      </c>
      <c r="K57" s="53">
        <f t="shared" si="3"/>
        <v>0</v>
      </c>
    </row>
    <row r="58" spans="1:11" ht="24.6" customHeight="1" x14ac:dyDescent="0.2">
      <c r="A58" s="215" t="s">
        <v>150</v>
      </c>
      <c r="B58" s="215"/>
      <c r="C58" s="215"/>
      <c r="D58" s="215"/>
      <c r="E58" s="215"/>
      <c r="F58" s="215"/>
      <c r="G58" s="11">
        <v>51</v>
      </c>
      <c r="H58" s="53">
        <v>0</v>
      </c>
      <c r="I58" s="53">
        <f t="shared" si="8"/>
        <v>0</v>
      </c>
      <c r="J58" s="53">
        <v>0</v>
      </c>
      <c r="K58" s="53">
        <f t="shared" si="3"/>
        <v>0</v>
      </c>
    </row>
    <row r="59" spans="1:11" ht="12.75" customHeight="1" x14ac:dyDescent="0.2">
      <c r="A59" s="215" t="s">
        <v>151</v>
      </c>
      <c r="B59" s="215"/>
      <c r="C59" s="215"/>
      <c r="D59" s="215"/>
      <c r="E59" s="215"/>
      <c r="F59" s="215"/>
      <c r="G59" s="11">
        <v>52</v>
      </c>
      <c r="H59" s="53">
        <v>0</v>
      </c>
      <c r="I59" s="53">
        <f t="shared" si="8"/>
        <v>0</v>
      </c>
      <c r="J59" s="53">
        <v>0</v>
      </c>
      <c r="K59" s="53">
        <f t="shared" si="3"/>
        <v>0</v>
      </c>
    </row>
    <row r="60" spans="1:11" ht="12.75" customHeight="1" x14ac:dyDescent="0.2">
      <c r="A60" s="213" t="s">
        <v>363</v>
      </c>
      <c r="B60" s="213"/>
      <c r="C60" s="213"/>
      <c r="D60" s="213"/>
      <c r="E60" s="213"/>
      <c r="F60" s="213"/>
      <c r="G60" s="12">
        <v>53</v>
      </c>
      <c r="H60" s="52">
        <f>H8+H37+H56+H57</f>
        <v>53780289</v>
      </c>
      <c r="I60" s="52">
        <f t="shared" ref="I60:K60" si="9">I8+I37+I56+I57</f>
        <v>28249652</v>
      </c>
      <c r="J60" s="52">
        <f t="shared" si="9"/>
        <v>48995609</v>
      </c>
      <c r="K60" s="52">
        <f t="shared" si="9"/>
        <v>25445177</v>
      </c>
    </row>
    <row r="61" spans="1:11" ht="12.75" customHeight="1" x14ac:dyDescent="0.2">
      <c r="A61" s="213" t="s">
        <v>364</v>
      </c>
      <c r="B61" s="213"/>
      <c r="C61" s="213"/>
      <c r="D61" s="213"/>
      <c r="E61" s="213"/>
      <c r="F61" s="213"/>
      <c r="G61" s="12">
        <v>54</v>
      </c>
      <c r="H61" s="52">
        <f>H14+H48+H58+H59</f>
        <v>47392687</v>
      </c>
      <c r="I61" s="52">
        <f t="shared" ref="I61:K61" si="10">I14+I48+I58+I59</f>
        <v>23297860</v>
      </c>
      <c r="J61" s="52">
        <f t="shared" si="10"/>
        <v>44983280</v>
      </c>
      <c r="K61" s="52">
        <f t="shared" si="10"/>
        <v>23961564</v>
      </c>
    </row>
    <row r="62" spans="1:11" ht="12.75" customHeight="1" x14ac:dyDescent="0.2">
      <c r="A62" s="213" t="s">
        <v>365</v>
      </c>
      <c r="B62" s="213"/>
      <c r="C62" s="213"/>
      <c r="D62" s="213"/>
      <c r="E62" s="213"/>
      <c r="F62" s="213"/>
      <c r="G62" s="12">
        <v>55</v>
      </c>
      <c r="H62" s="52">
        <f>H60-H61</f>
        <v>6387602</v>
      </c>
      <c r="I62" s="52">
        <f t="shared" ref="I62:K62" si="11">I60-I61</f>
        <v>4951792</v>
      </c>
      <c r="J62" s="52">
        <f t="shared" si="11"/>
        <v>4012329</v>
      </c>
      <c r="K62" s="52">
        <f t="shared" si="11"/>
        <v>1483613</v>
      </c>
    </row>
    <row r="63" spans="1:11" ht="12.75" customHeight="1" x14ac:dyDescent="0.2">
      <c r="A63" s="214" t="s">
        <v>366</v>
      </c>
      <c r="B63" s="214"/>
      <c r="C63" s="214"/>
      <c r="D63" s="214"/>
      <c r="E63" s="214"/>
      <c r="F63" s="214"/>
      <c r="G63" s="12">
        <v>56</v>
      </c>
      <c r="H63" s="52">
        <f>+IF((H60-H61)&gt;0,(H60-H61),0)</f>
        <v>6387602</v>
      </c>
      <c r="I63" s="52">
        <f t="shared" ref="I63:K63" si="12">+IF((I60-I61)&gt;0,(I60-I61),0)</f>
        <v>4951792</v>
      </c>
      <c r="J63" s="52">
        <f t="shared" si="12"/>
        <v>4012329</v>
      </c>
      <c r="K63" s="52">
        <f t="shared" si="12"/>
        <v>1483613</v>
      </c>
    </row>
    <row r="64" spans="1:11" ht="12.75" customHeight="1" x14ac:dyDescent="0.2">
      <c r="A64" s="214" t="s">
        <v>367</v>
      </c>
      <c r="B64" s="214"/>
      <c r="C64" s="214"/>
      <c r="D64" s="214"/>
      <c r="E64" s="214"/>
      <c r="F64" s="214"/>
      <c r="G64" s="12">
        <v>57</v>
      </c>
      <c r="H64" s="52">
        <f>+IF((H60-H61)&lt;0,(H60-H61),0)</f>
        <v>0</v>
      </c>
      <c r="I64" s="52">
        <f t="shared" ref="I64:K64" si="13">+IF((I60-I61)&lt;0,(I60-I61),0)</f>
        <v>0</v>
      </c>
      <c r="J64" s="52">
        <f t="shared" si="13"/>
        <v>0</v>
      </c>
      <c r="K64" s="52">
        <f t="shared" si="13"/>
        <v>0</v>
      </c>
    </row>
    <row r="65" spans="1:11" ht="12.75" customHeight="1" x14ac:dyDescent="0.2">
      <c r="A65" s="215" t="s">
        <v>111</v>
      </c>
      <c r="B65" s="215"/>
      <c r="C65" s="215"/>
      <c r="D65" s="215"/>
      <c r="E65" s="215"/>
      <c r="F65" s="215"/>
      <c r="G65" s="11">
        <v>58</v>
      </c>
      <c r="H65" s="53">
        <v>1162818</v>
      </c>
      <c r="I65" s="53">
        <f>+H65-264275</f>
        <v>898543</v>
      </c>
      <c r="J65" s="53">
        <v>749045</v>
      </c>
      <c r="K65" s="53">
        <f>+J65-469433</f>
        <v>279612</v>
      </c>
    </row>
    <row r="66" spans="1:11" ht="12.75" customHeight="1" x14ac:dyDescent="0.2">
      <c r="A66" s="213" t="s">
        <v>368</v>
      </c>
      <c r="B66" s="213"/>
      <c r="C66" s="213"/>
      <c r="D66" s="213"/>
      <c r="E66" s="213"/>
      <c r="F66" s="213"/>
      <c r="G66" s="12">
        <v>59</v>
      </c>
      <c r="H66" s="52">
        <f>H62-H65</f>
        <v>5224784</v>
      </c>
      <c r="I66" s="52">
        <f t="shared" ref="I66:K66" si="14">I62-I65</f>
        <v>4053249</v>
      </c>
      <c r="J66" s="52">
        <f t="shared" si="14"/>
        <v>3263284</v>
      </c>
      <c r="K66" s="52">
        <f t="shared" si="14"/>
        <v>1204001</v>
      </c>
    </row>
    <row r="67" spans="1:11" ht="12.75" customHeight="1" x14ac:dyDescent="0.2">
      <c r="A67" s="214" t="s">
        <v>369</v>
      </c>
      <c r="B67" s="214"/>
      <c r="C67" s="214"/>
      <c r="D67" s="214"/>
      <c r="E67" s="214"/>
      <c r="F67" s="214"/>
      <c r="G67" s="12">
        <v>60</v>
      </c>
      <c r="H67" s="52">
        <f>+IF((H62-H65)&gt;0,(H62-H65),0)</f>
        <v>5224784</v>
      </c>
      <c r="I67" s="52">
        <f t="shared" ref="I67:K67" si="15">+IF((I62-I65)&gt;0,(I62-I65),0)</f>
        <v>4053249</v>
      </c>
      <c r="J67" s="52">
        <f t="shared" si="15"/>
        <v>3263284</v>
      </c>
      <c r="K67" s="52">
        <f t="shared" si="15"/>
        <v>1204001</v>
      </c>
    </row>
    <row r="68" spans="1:11" ht="12.75" customHeight="1" x14ac:dyDescent="0.2">
      <c r="A68" s="214" t="s">
        <v>370</v>
      </c>
      <c r="B68" s="214"/>
      <c r="C68" s="214"/>
      <c r="D68" s="214"/>
      <c r="E68" s="214"/>
      <c r="F68" s="214"/>
      <c r="G68" s="12">
        <v>61</v>
      </c>
      <c r="H68" s="52">
        <f>+IF((H62-H65)&lt;0,(H62-H65),0)</f>
        <v>0</v>
      </c>
      <c r="I68" s="52">
        <f t="shared" ref="I68:K68" si="16">+IF((I62-I65)&lt;0,(I62-I65),0)</f>
        <v>0</v>
      </c>
      <c r="J68" s="52">
        <f t="shared" si="16"/>
        <v>0</v>
      </c>
      <c r="K68" s="52">
        <f t="shared" si="16"/>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f t="shared" ref="I71:I73" si="17">+H71-0</f>
        <v>0</v>
      </c>
      <c r="J71" s="53">
        <v>0</v>
      </c>
      <c r="K71" s="53">
        <f t="shared" ref="K71:K73" si="18">+J71-0</f>
        <v>0</v>
      </c>
    </row>
    <row r="72" spans="1:11" ht="12.75" customHeight="1" x14ac:dyDescent="0.2">
      <c r="A72" s="206" t="s">
        <v>154</v>
      </c>
      <c r="B72" s="206"/>
      <c r="C72" s="206"/>
      <c r="D72" s="206"/>
      <c r="E72" s="206"/>
      <c r="F72" s="206"/>
      <c r="G72" s="11">
        <v>64</v>
      </c>
      <c r="H72" s="53">
        <v>0</v>
      </c>
      <c r="I72" s="53">
        <f t="shared" si="17"/>
        <v>0</v>
      </c>
      <c r="J72" s="53">
        <v>0</v>
      </c>
      <c r="K72" s="53">
        <f t="shared" si="18"/>
        <v>0</v>
      </c>
    </row>
    <row r="73" spans="1:11" ht="12.75" customHeight="1" x14ac:dyDescent="0.2">
      <c r="A73" s="215" t="s">
        <v>155</v>
      </c>
      <c r="B73" s="215"/>
      <c r="C73" s="215"/>
      <c r="D73" s="215"/>
      <c r="E73" s="215"/>
      <c r="F73" s="215"/>
      <c r="G73" s="11">
        <v>65</v>
      </c>
      <c r="H73" s="53">
        <v>0</v>
      </c>
      <c r="I73" s="53">
        <f t="shared" si="17"/>
        <v>0</v>
      </c>
      <c r="J73" s="53">
        <v>0</v>
      </c>
      <c r="K73" s="53">
        <f t="shared" si="18"/>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f t="shared" ref="I78:I79" si="19">+H78-0</f>
        <v>0</v>
      </c>
      <c r="J78" s="54">
        <v>0</v>
      </c>
      <c r="K78" s="54">
        <f t="shared" ref="K78:K79" si="20">+J78-0</f>
        <v>0</v>
      </c>
    </row>
    <row r="79" spans="1:11" ht="12.75" customHeight="1" x14ac:dyDescent="0.2">
      <c r="A79" s="212" t="s">
        <v>376</v>
      </c>
      <c r="B79" s="212"/>
      <c r="C79" s="212"/>
      <c r="D79" s="212"/>
      <c r="E79" s="212"/>
      <c r="F79" s="212"/>
      <c r="G79" s="46">
        <v>70</v>
      </c>
      <c r="H79" s="54">
        <v>0</v>
      </c>
      <c r="I79" s="54">
        <f t="shared" si="19"/>
        <v>0</v>
      </c>
      <c r="J79" s="54">
        <v>0</v>
      </c>
      <c r="K79" s="54">
        <f t="shared" si="20"/>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5224784</v>
      </c>
      <c r="I85" s="55">
        <f>I86+I87</f>
        <v>4053249</v>
      </c>
      <c r="J85" s="55">
        <f>J86+J87</f>
        <v>3263284</v>
      </c>
      <c r="K85" s="55">
        <f>K86+K87</f>
        <v>1204001</v>
      </c>
    </row>
    <row r="86" spans="1:11" ht="12.75" customHeight="1" x14ac:dyDescent="0.2">
      <c r="A86" s="203" t="s">
        <v>157</v>
      </c>
      <c r="B86" s="203"/>
      <c r="C86" s="203"/>
      <c r="D86" s="203"/>
      <c r="E86" s="203"/>
      <c r="F86" s="203"/>
      <c r="G86" s="11">
        <v>76</v>
      </c>
      <c r="H86" s="56">
        <v>5242908</v>
      </c>
      <c r="I86" s="56">
        <f>+H86-1179631</f>
        <v>4063277</v>
      </c>
      <c r="J86" s="56">
        <f>+J67-J87</f>
        <v>3300542</v>
      </c>
      <c r="K86" s="56">
        <f>+J86-2079093</f>
        <v>1221449</v>
      </c>
    </row>
    <row r="87" spans="1:11" ht="12.75" customHeight="1" x14ac:dyDescent="0.2">
      <c r="A87" s="203" t="s">
        <v>158</v>
      </c>
      <c r="B87" s="203"/>
      <c r="C87" s="203"/>
      <c r="D87" s="203"/>
      <c r="E87" s="203"/>
      <c r="F87" s="203"/>
      <c r="G87" s="11">
        <v>77</v>
      </c>
      <c r="H87" s="56">
        <v>-18124</v>
      </c>
      <c r="I87" s="56">
        <f>+H87+8096</f>
        <v>-10028</v>
      </c>
      <c r="J87" s="56">
        <v>-37258</v>
      </c>
      <c r="K87" s="56">
        <f>+J87+19810</f>
        <v>-17448</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5224784</v>
      </c>
      <c r="I89" s="56">
        <f>+H89-1171535</f>
        <v>4053249</v>
      </c>
      <c r="J89" s="56">
        <f t="shared" ref="J89" si="21">+J66</f>
        <v>3263284</v>
      </c>
      <c r="K89" s="56">
        <f>+J89-2059283</f>
        <v>1204001</v>
      </c>
    </row>
    <row r="90" spans="1:11" ht="24" customHeight="1" x14ac:dyDescent="0.2">
      <c r="A90" s="184" t="s">
        <v>437</v>
      </c>
      <c r="B90" s="184"/>
      <c r="C90" s="184"/>
      <c r="D90" s="184"/>
      <c r="E90" s="184"/>
      <c r="F90" s="184"/>
      <c r="G90" s="12">
        <v>79</v>
      </c>
      <c r="H90" s="73">
        <f>H91+H98</f>
        <v>0</v>
      </c>
      <c r="I90" s="73">
        <f>I91+I98</f>
        <v>0</v>
      </c>
      <c r="J90" s="73">
        <f t="shared" ref="J90:K90" si="22">J91+J98</f>
        <v>0</v>
      </c>
      <c r="K90" s="73">
        <f t="shared" si="22"/>
        <v>0</v>
      </c>
    </row>
    <row r="91" spans="1:11" ht="24" customHeight="1" x14ac:dyDescent="0.2">
      <c r="A91" s="204" t="s">
        <v>444</v>
      </c>
      <c r="B91" s="204"/>
      <c r="C91" s="204"/>
      <c r="D91" s="204"/>
      <c r="E91" s="204"/>
      <c r="F91" s="204"/>
      <c r="G91" s="12">
        <v>80</v>
      </c>
      <c r="H91" s="73">
        <f>SUM(H92:H96)</f>
        <v>0</v>
      </c>
      <c r="I91" s="73">
        <f>SUM(I92:I96)</f>
        <v>0</v>
      </c>
      <c r="J91" s="73">
        <f t="shared" ref="J91:K91" si="23">SUM(J92:J96)</f>
        <v>0</v>
      </c>
      <c r="K91" s="73">
        <f t="shared" si="23"/>
        <v>0</v>
      </c>
    </row>
    <row r="92" spans="1:11" ht="25.5" customHeight="1" x14ac:dyDescent="0.2">
      <c r="A92" s="206" t="s">
        <v>382</v>
      </c>
      <c r="B92" s="206"/>
      <c r="C92" s="206"/>
      <c r="D92" s="206"/>
      <c r="E92" s="206"/>
      <c r="F92" s="206"/>
      <c r="G92" s="12">
        <v>81</v>
      </c>
      <c r="H92" s="56">
        <v>0</v>
      </c>
      <c r="I92" s="56">
        <f t="shared" ref="I92:I97" si="24">+H92-0</f>
        <v>0</v>
      </c>
      <c r="J92" s="56">
        <v>0</v>
      </c>
      <c r="K92" s="56">
        <f t="shared" ref="K92:K97" si="25">+J92-0</f>
        <v>0</v>
      </c>
    </row>
    <row r="93" spans="1:11" ht="38.25" customHeight="1" x14ac:dyDescent="0.2">
      <c r="A93" s="206" t="s">
        <v>383</v>
      </c>
      <c r="B93" s="206"/>
      <c r="C93" s="206"/>
      <c r="D93" s="206"/>
      <c r="E93" s="206"/>
      <c r="F93" s="206"/>
      <c r="G93" s="12">
        <v>82</v>
      </c>
      <c r="H93" s="56">
        <v>0</v>
      </c>
      <c r="I93" s="56">
        <f t="shared" si="24"/>
        <v>0</v>
      </c>
      <c r="J93" s="56">
        <v>0</v>
      </c>
      <c r="K93" s="56">
        <f t="shared" si="25"/>
        <v>0</v>
      </c>
    </row>
    <row r="94" spans="1:11" ht="38.25" customHeight="1" x14ac:dyDescent="0.2">
      <c r="A94" s="206" t="s">
        <v>384</v>
      </c>
      <c r="B94" s="206"/>
      <c r="C94" s="206"/>
      <c r="D94" s="206"/>
      <c r="E94" s="206"/>
      <c r="F94" s="206"/>
      <c r="G94" s="12">
        <v>83</v>
      </c>
      <c r="H94" s="56">
        <v>0</v>
      </c>
      <c r="I94" s="56">
        <f t="shared" si="24"/>
        <v>0</v>
      </c>
      <c r="J94" s="56">
        <v>0</v>
      </c>
      <c r="K94" s="56">
        <f t="shared" si="25"/>
        <v>0</v>
      </c>
    </row>
    <row r="95" spans="1:11" x14ac:dyDescent="0.2">
      <c r="A95" s="206" t="s">
        <v>385</v>
      </c>
      <c r="B95" s="206"/>
      <c r="C95" s="206"/>
      <c r="D95" s="206"/>
      <c r="E95" s="206"/>
      <c r="F95" s="206"/>
      <c r="G95" s="12">
        <v>84</v>
      </c>
      <c r="H95" s="56">
        <v>0</v>
      </c>
      <c r="I95" s="56">
        <f t="shared" si="24"/>
        <v>0</v>
      </c>
      <c r="J95" s="56">
        <v>0</v>
      </c>
      <c r="K95" s="56">
        <f t="shared" si="25"/>
        <v>0</v>
      </c>
    </row>
    <row r="96" spans="1:11" x14ac:dyDescent="0.2">
      <c r="A96" s="206" t="s">
        <v>386</v>
      </c>
      <c r="B96" s="206"/>
      <c r="C96" s="206"/>
      <c r="D96" s="206"/>
      <c r="E96" s="206"/>
      <c r="F96" s="206"/>
      <c r="G96" s="12">
        <v>85</v>
      </c>
      <c r="H96" s="56">
        <v>0</v>
      </c>
      <c r="I96" s="56">
        <f t="shared" si="24"/>
        <v>0</v>
      </c>
      <c r="J96" s="56">
        <v>0</v>
      </c>
      <c r="K96" s="56">
        <f t="shared" si="25"/>
        <v>0</v>
      </c>
    </row>
    <row r="97" spans="1:11" ht="26.25" customHeight="1" x14ac:dyDescent="0.2">
      <c r="A97" s="206" t="s">
        <v>387</v>
      </c>
      <c r="B97" s="206"/>
      <c r="C97" s="206"/>
      <c r="D97" s="206"/>
      <c r="E97" s="206"/>
      <c r="F97" s="206"/>
      <c r="G97" s="12">
        <v>86</v>
      </c>
      <c r="H97" s="56">
        <v>0</v>
      </c>
      <c r="I97" s="56">
        <f t="shared" si="24"/>
        <v>0</v>
      </c>
      <c r="J97" s="56">
        <v>0</v>
      </c>
      <c r="K97" s="56">
        <f t="shared" si="25"/>
        <v>0</v>
      </c>
    </row>
    <row r="98" spans="1:11" ht="25.5" customHeight="1" x14ac:dyDescent="0.2">
      <c r="A98" s="204" t="s">
        <v>438</v>
      </c>
      <c r="B98" s="204"/>
      <c r="C98" s="204"/>
      <c r="D98" s="204"/>
      <c r="E98" s="204"/>
      <c r="F98" s="204"/>
      <c r="G98" s="12">
        <v>87</v>
      </c>
      <c r="H98" s="73">
        <f>SUM(H99:H106)</f>
        <v>0</v>
      </c>
      <c r="I98" s="73">
        <f>SUM(I99:I106)</f>
        <v>0</v>
      </c>
      <c r="J98" s="73">
        <f t="shared" ref="J98:K98" si="26">SUM(J99:J106)</f>
        <v>0</v>
      </c>
      <c r="K98" s="73">
        <f t="shared" si="26"/>
        <v>0</v>
      </c>
    </row>
    <row r="99" spans="1:11" x14ac:dyDescent="0.2">
      <c r="A99" s="205" t="s">
        <v>160</v>
      </c>
      <c r="B99" s="205"/>
      <c r="C99" s="205"/>
      <c r="D99" s="205"/>
      <c r="E99" s="205"/>
      <c r="F99" s="205"/>
      <c r="G99" s="11">
        <v>88</v>
      </c>
      <c r="H99" s="56">
        <v>0</v>
      </c>
      <c r="I99" s="56">
        <f t="shared" ref="I99:I107" si="27">+H99-0</f>
        <v>0</v>
      </c>
      <c r="J99" s="56">
        <v>0</v>
      </c>
      <c r="K99" s="56">
        <f t="shared" ref="K99:K107" si="28">+J99-0</f>
        <v>0</v>
      </c>
    </row>
    <row r="100" spans="1:11" ht="36" customHeight="1" x14ac:dyDescent="0.2">
      <c r="A100" s="206" t="s">
        <v>388</v>
      </c>
      <c r="B100" s="206"/>
      <c r="C100" s="206"/>
      <c r="D100" s="206"/>
      <c r="E100" s="206"/>
      <c r="F100" s="206"/>
      <c r="G100" s="11">
        <v>89</v>
      </c>
      <c r="H100" s="56">
        <v>0</v>
      </c>
      <c r="I100" s="56">
        <f t="shared" si="27"/>
        <v>0</v>
      </c>
      <c r="J100" s="56">
        <v>0</v>
      </c>
      <c r="K100" s="56">
        <f t="shared" si="28"/>
        <v>0</v>
      </c>
    </row>
    <row r="101" spans="1:11" ht="22.15" customHeight="1" x14ac:dyDescent="0.2">
      <c r="A101" s="205" t="s">
        <v>161</v>
      </c>
      <c r="B101" s="205"/>
      <c r="C101" s="205"/>
      <c r="D101" s="205"/>
      <c r="E101" s="205"/>
      <c r="F101" s="205"/>
      <c r="G101" s="11">
        <v>90</v>
      </c>
      <c r="H101" s="56">
        <v>0</v>
      </c>
      <c r="I101" s="56">
        <f t="shared" si="27"/>
        <v>0</v>
      </c>
      <c r="J101" s="56">
        <v>0</v>
      </c>
      <c r="K101" s="56">
        <f t="shared" si="28"/>
        <v>0</v>
      </c>
    </row>
    <row r="102" spans="1:11" ht="22.15" customHeight="1" x14ac:dyDescent="0.2">
      <c r="A102" s="205" t="s">
        <v>162</v>
      </c>
      <c r="B102" s="205"/>
      <c r="C102" s="205"/>
      <c r="D102" s="205"/>
      <c r="E102" s="205"/>
      <c r="F102" s="205"/>
      <c r="G102" s="11">
        <v>91</v>
      </c>
      <c r="H102" s="56">
        <v>0</v>
      </c>
      <c r="I102" s="56">
        <f t="shared" si="27"/>
        <v>0</v>
      </c>
      <c r="J102" s="56">
        <v>0</v>
      </c>
      <c r="K102" s="56">
        <f t="shared" si="28"/>
        <v>0</v>
      </c>
    </row>
    <row r="103" spans="1:11" ht="22.15" customHeight="1" x14ac:dyDescent="0.2">
      <c r="A103" s="205" t="s">
        <v>163</v>
      </c>
      <c r="B103" s="205"/>
      <c r="C103" s="205"/>
      <c r="D103" s="205"/>
      <c r="E103" s="205"/>
      <c r="F103" s="205"/>
      <c r="G103" s="11">
        <v>92</v>
      </c>
      <c r="H103" s="56">
        <v>0</v>
      </c>
      <c r="I103" s="56">
        <f t="shared" si="27"/>
        <v>0</v>
      </c>
      <c r="J103" s="56">
        <v>0</v>
      </c>
      <c r="K103" s="56">
        <f t="shared" si="28"/>
        <v>0</v>
      </c>
    </row>
    <row r="104" spans="1:11" ht="12.75" customHeight="1" x14ac:dyDescent="0.2">
      <c r="A104" s="206" t="s">
        <v>389</v>
      </c>
      <c r="B104" s="206"/>
      <c r="C104" s="206"/>
      <c r="D104" s="206"/>
      <c r="E104" s="206"/>
      <c r="F104" s="206"/>
      <c r="G104" s="11">
        <v>93</v>
      </c>
      <c r="H104" s="56">
        <v>0</v>
      </c>
      <c r="I104" s="56">
        <f t="shared" si="27"/>
        <v>0</v>
      </c>
      <c r="J104" s="56">
        <v>0</v>
      </c>
      <c r="K104" s="56">
        <f t="shared" si="28"/>
        <v>0</v>
      </c>
    </row>
    <row r="105" spans="1:11" ht="26.25" customHeight="1" x14ac:dyDescent="0.2">
      <c r="A105" s="206" t="s">
        <v>390</v>
      </c>
      <c r="B105" s="206"/>
      <c r="C105" s="206"/>
      <c r="D105" s="206"/>
      <c r="E105" s="206"/>
      <c r="F105" s="206"/>
      <c r="G105" s="11">
        <v>94</v>
      </c>
      <c r="H105" s="56">
        <v>0</v>
      </c>
      <c r="I105" s="56">
        <f t="shared" si="27"/>
        <v>0</v>
      </c>
      <c r="J105" s="56">
        <v>0</v>
      </c>
      <c r="K105" s="56">
        <f t="shared" si="28"/>
        <v>0</v>
      </c>
    </row>
    <row r="106" spans="1:11" x14ac:dyDescent="0.2">
      <c r="A106" s="206" t="s">
        <v>391</v>
      </c>
      <c r="B106" s="206"/>
      <c r="C106" s="206"/>
      <c r="D106" s="206"/>
      <c r="E106" s="206"/>
      <c r="F106" s="206"/>
      <c r="G106" s="11">
        <v>95</v>
      </c>
      <c r="H106" s="56">
        <v>0</v>
      </c>
      <c r="I106" s="56">
        <f t="shared" si="27"/>
        <v>0</v>
      </c>
      <c r="J106" s="56">
        <v>0</v>
      </c>
      <c r="K106" s="56">
        <f t="shared" si="28"/>
        <v>0</v>
      </c>
    </row>
    <row r="107" spans="1:11" ht="24.75" customHeight="1" x14ac:dyDescent="0.2">
      <c r="A107" s="206" t="s">
        <v>392</v>
      </c>
      <c r="B107" s="206"/>
      <c r="C107" s="206"/>
      <c r="D107" s="206"/>
      <c r="E107" s="206"/>
      <c r="F107" s="206"/>
      <c r="G107" s="11">
        <v>96</v>
      </c>
      <c r="H107" s="56">
        <v>0</v>
      </c>
      <c r="I107" s="56">
        <f t="shared" si="27"/>
        <v>0</v>
      </c>
      <c r="J107" s="56">
        <v>0</v>
      </c>
      <c r="K107" s="56">
        <f t="shared" si="28"/>
        <v>0</v>
      </c>
    </row>
    <row r="108" spans="1:11" ht="22.9" customHeight="1" x14ac:dyDescent="0.2">
      <c r="A108" s="184" t="s">
        <v>439</v>
      </c>
      <c r="B108" s="184"/>
      <c r="C108" s="184"/>
      <c r="D108" s="184"/>
      <c r="E108" s="184"/>
      <c r="F108" s="184"/>
      <c r="G108" s="12">
        <v>97</v>
      </c>
      <c r="H108" s="73">
        <f>H91+H98-H107-H97</f>
        <v>0</v>
      </c>
      <c r="I108" s="73">
        <f>I91+I98-I107-I97</f>
        <v>0</v>
      </c>
      <c r="J108" s="73">
        <f t="shared" ref="J108:K108" si="29">J91+J98-J107-J97</f>
        <v>0</v>
      </c>
      <c r="K108" s="73">
        <f t="shared" si="29"/>
        <v>0</v>
      </c>
    </row>
    <row r="109" spans="1:11" ht="12.75" customHeight="1" x14ac:dyDescent="0.2">
      <c r="A109" s="184" t="s">
        <v>393</v>
      </c>
      <c r="B109" s="184"/>
      <c r="C109" s="184"/>
      <c r="D109" s="184"/>
      <c r="E109" s="184"/>
      <c r="F109" s="184"/>
      <c r="G109" s="12">
        <v>98</v>
      </c>
      <c r="H109" s="55">
        <f>H89+H108</f>
        <v>5224784</v>
      </c>
      <c r="I109" s="55">
        <f>I89+I108</f>
        <v>4053249</v>
      </c>
      <c r="J109" s="55">
        <f t="shared" ref="J109:K109" si="30">J89+J108</f>
        <v>3263284</v>
      </c>
      <c r="K109" s="55">
        <f t="shared" si="30"/>
        <v>1204001</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5224784</v>
      </c>
      <c r="I111" s="55">
        <f>I112+I113</f>
        <v>4053249</v>
      </c>
      <c r="J111" s="55">
        <f>J112+J113</f>
        <v>3263284</v>
      </c>
      <c r="K111" s="55">
        <f>K112+K113</f>
        <v>1204001</v>
      </c>
    </row>
    <row r="112" spans="1:11" ht="12.75" customHeight="1" x14ac:dyDescent="0.2">
      <c r="A112" s="203" t="s">
        <v>113</v>
      </c>
      <c r="B112" s="203"/>
      <c r="C112" s="203"/>
      <c r="D112" s="203"/>
      <c r="E112" s="203"/>
      <c r="F112" s="203"/>
      <c r="G112" s="11">
        <v>100</v>
      </c>
      <c r="H112" s="56">
        <f>+H86</f>
        <v>5242908</v>
      </c>
      <c r="I112" s="56">
        <f t="shared" ref="I112:K112" si="31">+I86</f>
        <v>4063277</v>
      </c>
      <c r="J112" s="56">
        <f t="shared" si="31"/>
        <v>3300542</v>
      </c>
      <c r="K112" s="56">
        <f t="shared" si="31"/>
        <v>1221449</v>
      </c>
    </row>
    <row r="113" spans="1:11" ht="12.75" customHeight="1" x14ac:dyDescent="0.2">
      <c r="A113" s="203" t="s">
        <v>165</v>
      </c>
      <c r="B113" s="203"/>
      <c r="C113" s="203"/>
      <c r="D113" s="203"/>
      <c r="E113" s="203"/>
      <c r="F113" s="203"/>
      <c r="G113" s="11">
        <v>101</v>
      </c>
      <c r="H113" s="56">
        <f>+H87</f>
        <v>-18124</v>
      </c>
      <c r="I113" s="56">
        <f t="shared" ref="I113:K113" si="32">+I87</f>
        <v>-10028</v>
      </c>
      <c r="J113" s="56">
        <f t="shared" si="32"/>
        <v>-37258</v>
      </c>
      <c r="K113" s="56">
        <f t="shared" si="32"/>
        <v>-17448</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A36" sqref="A36:F3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470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f>+RDG!H63</f>
        <v>6387602</v>
      </c>
      <c r="I8" s="68">
        <f>+RDG!J63</f>
        <v>4012329</v>
      </c>
    </row>
    <row r="9" spans="1:9" ht="12.75" customHeight="1" x14ac:dyDescent="0.2">
      <c r="A9" s="237" t="s">
        <v>171</v>
      </c>
      <c r="B9" s="237"/>
      <c r="C9" s="237"/>
      <c r="D9" s="237"/>
      <c r="E9" s="237"/>
      <c r="F9" s="237"/>
      <c r="G9" s="69">
        <v>2</v>
      </c>
      <c r="H9" s="70">
        <f>H10+H11+H12+H13+H14+H15+H16+H17</f>
        <v>5588341</v>
      </c>
      <c r="I9" s="70">
        <f>I10+I11+I12+I13+I14+I15+I16+I17</f>
        <v>-6013649</v>
      </c>
    </row>
    <row r="10" spans="1:9" ht="12.75" customHeight="1" x14ac:dyDescent="0.2">
      <c r="A10" s="216" t="s">
        <v>172</v>
      </c>
      <c r="B10" s="216"/>
      <c r="C10" s="216"/>
      <c r="D10" s="216"/>
      <c r="E10" s="216"/>
      <c r="F10" s="216"/>
      <c r="G10" s="67">
        <v>3</v>
      </c>
      <c r="H10" s="68">
        <v>3031386</v>
      </c>
      <c r="I10" s="68">
        <v>3917517</v>
      </c>
    </row>
    <row r="11" spans="1:9" ht="22.15" customHeight="1" x14ac:dyDescent="0.2">
      <c r="A11" s="216" t="s">
        <v>173</v>
      </c>
      <c r="B11" s="216"/>
      <c r="C11" s="216"/>
      <c r="D11" s="216"/>
      <c r="E11" s="216"/>
      <c r="F11" s="216"/>
      <c r="G11" s="67">
        <v>4</v>
      </c>
      <c r="H11" s="68">
        <v>-2048</v>
      </c>
      <c r="I11" s="68">
        <v>-15</v>
      </c>
    </row>
    <row r="12" spans="1:9" ht="23.45" customHeight="1" x14ac:dyDescent="0.2">
      <c r="A12" s="216" t="s">
        <v>174</v>
      </c>
      <c r="B12" s="216"/>
      <c r="C12" s="216"/>
      <c r="D12" s="216"/>
      <c r="E12" s="216"/>
      <c r="F12" s="216"/>
      <c r="G12" s="67">
        <v>5</v>
      </c>
      <c r="H12" s="68">
        <v>50000</v>
      </c>
      <c r="I12" s="68">
        <v>9624</v>
      </c>
    </row>
    <row r="13" spans="1:9" ht="12.75" customHeight="1" x14ac:dyDescent="0.2">
      <c r="A13" s="216" t="s">
        <v>175</v>
      </c>
      <c r="B13" s="216"/>
      <c r="C13" s="216"/>
      <c r="D13" s="216"/>
      <c r="E13" s="216"/>
      <c r="F13" s="216"/>
      <c r="G13" s="67">
        <v>6</v>
      </c>
      <c r="H13" s="68">
        <v>-79864</v>
      </c>
      <c r="I13" s="68">
        <v>-37326</v>
      </c>
    </row>
    <row r="14" spans="1:9" ht="12.75" customHeight="1" x14ac:dyDescent="0.2">
      <c r="A14" s="216" t="s">
        <v>176</v>
      </c>
      <c r="B14" s="216"/>
      <c r="C14" s="216"/>
      <c r="D14" s="216"/>
      <c r="E14" s="216"/>
      <c r="F14" s="216"/>
      <c r="G14" s="67">
        <v>7</v>
      </c>
      <c r="H14" s="68">
        <v>14796</v>
      </c>
      <c r="I14" s="68">
        <v>8023</v>
      </c>
    </row>
    <row r="15" spans="1:9" ht="12.75" customHeight="1" x14ac:dyDescent="0.2">
      <c r="A15" s="216" t="s">
        <v>177</v>
      </c>
      <c r="B15" s="216"/>
      <c r="C15" s="216"/>
      <c r="D15" s="216"/>
      <c r="E15" s="216"/>
      <c r="F15" s="216"/>
      <c r="G15" s="67">
        <v>8</v>
      </c>
      <c r="H15" s="68">
        <v>-344464</v>
      </c>
      <c r="I15" s="68">
        <v>-366076</v>
      </c>
    </row>
    <row r="16" spans="1:9" ht="12.75" customHeight="1" x14ac:dyDescent="0.2">
      <c r="A16" s="216" t="s">
        <v>178</v>
      </c>
      <c r="B16" s="216"/>
      <c r="C16" s="216"/>
      <c r="D16" s="216"/>
      <c r="E16" s="216"/>
      <c r="F16" s="216"/>
      <c r="G16" s="67">
        <v>9</v>
      </c>
      <c r="H16" s="68">
        <v>304917</v>
      </c>
      <c r="I16" s="68">
        <v>-1096317</v>
      </c>
    </row>
    <row r="17" spans="1:9" ht="25.15" customHeight="1" x14ac:dyDescent="0.2">
      <c r="A17" s="216" t="s">
        <v>179</v>
      </c>
      <c r="B17" s="216"/>
      <c r="C17" s="216"/>
      <c r="D17" s="216"/>
      <c r="E17" s="216"/>
      <c r="F17" s="216"/>
      <c r="G17" s="67">
        <v>10</v>
      </c>
      <c r="H17" s="68">
        <v>2613618</v>
      </c>
      <c r="I17" s="68">
        <v>-8449079</v>
      </c>
    </row>
    <row r="18" spans="1:9" ht="28.15" customHeight="1" x14ac:dyDescent="0.2">
      <c r="A18" s="233" t="s">
        <v>306</v>
      </c>
      <c r="B18" s="233"/>
      <c r="C18" s="233"/>
      <c r="D18" s="233"/>
      <c r="E18" s="233"/>
      <c r="F18" s="233"/>
      <c r="G18" s="69">
        <v>11</v>
      </c>
      <c r="H18" s="70">
        <f>H8+H9</f>
        <v>11975943</v>
      </c>
      <c r="I18" s="70">
        <f>I8+I9</f>
        <v>-2001320</v>
      </c>
    </row>
    <row r="19" spans="1:9" ht="12.75" customHeight="1" x14ac:dyDescent="0.2">
      <c r="A19" s="237" t="s">
        <v>180</v>
      </c>
      <c r="B19" s="237"/>
      <c r="C19" s="237"/>
      <c r="D19" s="237"/>
      <c r="E19" s="237"/>
      <c r="F19" s="237"/>
      <c r="G19" s="69">
        <v>12</v>
      </c>
      <c r="H19" s="70">
        <f>H20+H21+H22+H23</f>
        <v>-676362</v>
      </c>
      <c r="I19" s="70">
        <f>I20+I21+I22+I23</f>
        <v>3528609</v>
      </c>
    </row>
    <row r="20" spans="1:9" ht="12.75" customHeight="1" x14ac:dyDescent="0.2">
      <c r="A20" s="216" t="s">
        <v>181</v>
      </c>
      <c r="B20" s="216"/>
      <c r="C20" s="216"/>
      <c r="D20" s="216"/>
      <c r="E20" s="216"/>
      <c r="F20" s="216"/>
      <c r="G20" s="67">
        <v>13</v>
      </c>
      <c r="H20" s="68">
        <v>4675082</v>
      </c>
      <c r="I20" s="68">
        <v>5552412</v>
      </c>
    </row>
    <row r="21" spans="1:9" ht="12.75" customHeight="1" x14ac:dyDescent="0.2">
      <c r="A21" s="216" t="s">
        <v>182</v>
      </c>
      <c r="B21" s="216"/>
      <c r="C21" s="216"/>
      <c r="D21" s="216"/>
      <c r="E21" s="216"/>
      <c r="F21" s="216"/>
      <c r="G21" s="67">
        <v>14</v>
      </c>
      <c r="H21" s="68">
        <v>-7101881</v>
      </c>
      <c r="I21" s="68">
        <v>-2288942</v>
      </c>
    </row>
    <row r="22" spans="1:9" ht="12.75" customHeight="1" x14ac:dyDescent="0.2">
      <c r="A22" s="216" t="s">
        <v>183</v>
      </c>
      <c r="B22" s="216"/>
      <c r="C22" s="216"/>
      <c r="D22" s="216"/>
      <c r="E22" s="216"/>
      <c r="F22" s="216"/>
      <c r="G22" s="67">
        <v>15</v>
      </c>
      <c r="H22" s="68">
        <v>1750437</v>
      </c>
      <c r="I22" s="68">
        <v>265139</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11299581</v>
      </c>
      <c r="I24" s="70">
        <f>I18+I19</f>
        <v>1527289</v>
      </c>
    </row>
    <row r="25" spans="1:9" ht="12.75" customHeight="1" x14ac:dyDescent="0.2">
      <c r="A25" s="182" t="s">
        <v>186</v>
      </c>
      <c r="B25" s="182"/>
      <c r="C25" s="182"/>
      <c r="D25" s="182"/>
      <c r="E25" s="182"/>
      <c r="F25" s="182"/>
      <c r="G25" s="67">
        <v>18</v>
      </c>
      <c r="H25" s="68">
        <v>-19469</v>
      </c>
      <c r="I25" s="68">
        <v>-11711</v>
      </c>
    </row>
    <row r="26" spans="1:9" ht="12.75" customHeight="1" x14ac:dyDescent="0.2">
      <c r="A26" s="182" t="s">
        <v>187</v>
      </c>
      <c r="B26" s="182"/>
      <c r="C26" s="182"/>
      <c r="D26" s="182"/>
      <c r="E26" s="182"/>
      <c r="F26" s="182"/>
      <c r="G26" s="67">
        <v>19</v>
      </c>
      <c r="H26" s="68">
        <v>-161989</v>
      </c>
      <c r="I26" s="68">
        <v>-744762</v>
      </c>
    </row>
    <row r="27" spans="1:9" ht="25.9" customHeight="1" x14ac:dyDescent="0.2">
      <c r="A27" s="234" t="s">
        <v>188</v>
      </c>
      <c r="B27" s="234"/>
      <c r="C27" s="234"/>
      <c r="D27" s="234"/>
      <c r="E27" s="234"/>
      <c r="F27" s="234"/>
      <c r="G27" s="69">
        <v>20</v>
      </c>
      <c r="H27" s="70">
        <f>H24+H25+H26</f>
        <v>11118123</v>
      </c>
      <c r="I27" s="70">
        <f>I24+I25+I26</f>
        <v>770816</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2048</v>
      </c>
      <c r="I29" s="71">
        <v>15</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818</v>
      </c>
      <c r="I32" s="71">
        <v>893</v>
      </c>
    </row>
    <row r="33" spans="1:9" ht="12.75" customHeight="1" x14ac:dyDescent="0.2">
      <c r="A33" s="182" t="s">
        <v>194</v>
      </c>
      <c r="B33" s="182"/>
      <c r="C33" s="182"/>
      <c r="D33" s="182"/>
      <c r="E33" s="182"/>
      <c r="F33" s="182"/>
      <c r="G33" s="67">
        <v>25</v>
      </c>
      <c r="H33" s="71">
        <v>121600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124466</v>
      </c>
      <c r="I35" s="72">
        <f>I29+I30+I31+I32+I33+I34</f>
        <v>908</v>
      </c>
    </row>
    <row r="36" spans="1:9" ht="22.9" customHeight="1" x14ac:dyDescent="0.2">
      <c r="A36" s="182" t="s">
        <v>197</v>
      </c>
      <c r="B36" s="182"/>
      <c r="C36" s="182"/>
      <c r="D36" s="182"/>
      <c r="E36" s="182"/>
      <c r="F36" s="182"/>
      <c r="G36" s="67">
        <v>28</v>
      </c>
      <c r="H36" s="71">
        <v>-13329348</v>
      </c>
      <c r="I36" s="71">
        <v>-859553</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-78400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-13407748</v>
      </c>
      <c r="I41" s="72">
        <f>I36+I37+I38+I39+I40</f>
        <v>-859553</v>
      </c>
    </row>
    <row r="42" spans="1:9" ht="29.45" customHeight="1" x14ac:dyDescent="0.2">
      <c r="A42" s="234" t="s">
        <v>203</v>
      </c>
      <c r="B42" s="234"/>
      <c r="C42" s="234"/>
      <c r="D42" s="234"/>
      <c r="E42" s="234"/>
      <c r="F42" s="234"/>
      <c r="G42" s="69">
        <v>34</v>
      </c>
      <c r="H42" s="72">
        <f>H35+H41</f>
        <v>-13283282</v>
      </c>
      <c r="I42" s="72">
        <f>I35+I41</f>
        <v>-858645</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-125673</v>
      </c>
      <c r="I49" s="71">
        <v>-58550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-125673</v>
      </c>
      <c r="I54" s="72">
        <f>I49+I50+I51+I52+I53</f>
        <v>-58550</v>
      </c>
    </row>
    <row r="55" spans="1:9" ht="29.45" customHeight="1" x14ac:dyDescent="0.2">
      <c r="A55" s="234" t="s">
        <v>215</v>
      </c>
      <c r="B55" s="234"/>
      <c r="C55" s="234"/>
      <c r="D55" s="234"/>
      <c r="E55" s="234"/>
      <c r="F55" s="234"/>
      <c r="G55" s="69">
        <v>46</v>
      </c>
      <c r="H55" s="72">
        <f>H48+H54</f>
        <v>-125673</v>
      </c>
      <c r="I55" s="72">
        <f>I48+I54</f>
        <v>-58550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-2290832</v>
      </c>
      <c r="I57" s="72">
        <f>I27+I42+I55+I56</f>
        <v>-146379</v>
      </c>
    </row>
    <row r="58" spans="1:9" x14ac:dyDescent="0.2">
      <c r="A58" s="236" t="s">
        <v>218</v>
      </c>
      <c r="B58" s="236"/>
      <c r="C58" s="236"/>
      <c r="D58" s="236"/>
      <c r="E58" s="236"/>
      <c r="F58" s="236"/>
      <c r="G58" s="67">
        <v>49</v>
      </c>
      <c r="H58" s="71">
        <v>13353119</v>
      </c>
      <c r="I58" s="71">
        <v>11003421</v>
      </c>
    </row>
    <row r="59" spans="1:9" ht="31.15" customHeight="1" x14ac:dyDescent="0.2">
      <c r="A59" s="234" t="s">
        <v>219</v>
      </c>
      <c r="B59" s="234"/>
      <c r="C59" s="234"/>
      <c r="D59" s="234"/>
      <c r="E59" s="234"/>
      <c r="F59" s="234"/>
      <c r="G59" s="69">
        <v>50</v>
      </c>
      <c r="H59" s="72">
        <f>H57+H58</f>
        <v>11062287</v>
      </c>
      <c r="I59" s="72">
        <f>I57+I58</f>
        <v>10857042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E1" zoomScale="90" zoomScaleNormal="100" zoomScaleSheetLayoutView="9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45838</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22315014</v>
      </c>
      <c r="I7" s="33">
        <v>0</v>
      </c>
      <c r="J7" s="33">
        <v>1115751</v>
      </c>
      <c r="K7" s="33">
        <v>1664344</v>
      </c>
      <c r="L7" s="33">
        <v>1069185</v>
      </c>
      <c r="M7" s="33">
        <v>0</v>
      </c>
      <c r="N7" s="33">
        <v>21223552</v>
      </c>
      <c r="O7" s="33">
        <v>0</v>
      </c>
      <c r="P7" s="33">
        <v>0</v>
      </c>
      <c r="Q7" s="33">
        <v>0</v>
      </c>
      <c r="R7" s="33">
        <v>0</v>
      </c>
      <c r="S7" s="33">
        <v>0</v>
      </c>
      <c r="T7" s="33">
        <v>0</v>
      </c>
      <c r="U7" s="33">
        <v>0</v>
      </c>
      <c r="V7" s="33">
        <v>4729248</v>
      </c>
      <c r="W7" s="34">
        <f>H7+I7+J7+K7-L7+M7+N7+O7+P7+Q7+R7+U7+V7+S7+T7</f>
        <v>49978724</v>
      </c>
      <c r="X7" s="33">
        <v>29968</v>
      </c>
      <c r="Y7" s="34">
        <f>W7+X7</f>
        <v>50008692</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22315014</v>
      </c>
      <c r="I10" s="34">
        <f t="shared" ref="I10:Y10" si="2">I7+I8+I9</f>
        <v>0</v>
      </c>
      <c r="J10" s="34">
        <f t="shared" si="2"/>
        <v>1115751</v>
      </c>
      <c r="K10" s="34">
        <f>K7+K8+K9</f>
        <v>1664344</v>
      </c>
      <c r="L10" s="34">
        <f t="shared" si="2"/>
        <v>1069185</v>
      </c>
      <c r="M10" s="34">
        <f t="shared" si="2"/>
        <v>0</v>
      </c>
      <c r="N10" s="34">
        <f t="shared" si="2"/>
        <v>21223552</v>
      </c>
      <c r="O10" s="34">
        <f t="shared" si="2"/>
        <v>0</v>
      </c>
      <c r="P10" s="34">
        <f t="shared" si="2"/>
        <v>0</v>
      </c>
      <c r="Q10" s="34">
        <f t="shared" si="2"/>
        <v>0</v>
      </c>
      <c r="R10" s="34">
        <f t="shared" si="2"/>
        <v>0</v>
      </c>
      <c r="S10" s="34">
        <f t="shared" si="2"/>
        <v>0</v>
      </c>
      <c r="T10" s="34">
        <f t="shared" si="2"/>
        <v>0</v>
      </c>
      <c r="U10" s="34">
        <f t="shared" si="2"/>
        <v>0</v>
      </c>
      <c r="V10" s="34">
        <f t="shared" si="2"/>
        <v>4729248</v>
      </c>
      <c r="W10" s="34">
        <f t="shared" si="2"/>
        <v>49978724</v>
      </c>
      <c r="X10" s="34">
        <f t="shared" si="2"/>
        <v>29968</v>
      </c>
      <c r="Y10" s="34">
        <f t="shared" si="2"/>
        <v>50008692</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5426672</v>
      </c>
      <c r="W11" s="34">
        <f t="shared" ref="W11:W29" si="3">H11+I11+J11+K11-L11+M11+N11+O11+P11+Q11+R11+U11+V11+S11+T11</f>
        <v>5426672</v>
      </c>
      <c r="X11" s="33">
        <v>0</v>
      </c>
      <c r="Y11" s="34">
        <f t="shared" ref="Y11:Y29" si="4">W11+X11</f>
        <v>5426672</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1587</v>
      </c>
      <c r="O19" s="33">
        <v>0</v>
      </c>
      <c r="P19" s="33">
        <v>0</v>
      </c>
      <c r="Q19" s="33">
        <v>0</v>
      </c>
      <c r="R19" s="33">
        <v>0</v>
      </c>
      <c r="S19" s="33">
        <v>0</v>
      </c>
      <c r="T19" s="33">
        <v>0</v>
      </c>
      <c r="U19" s="33">
        <v>0</v>
      </c>
      <c r="V19" s="33">
        <v>0</v>
      </c>
      <c r="W19" s="34">
        <f t="shared" si="3"/>
        <v>1587</v>
      </c>
      <c r="X19" s="33">
        <v>0</v>
      </c>
      <c r="Y19" s="34">
        <f t="shared" si="4"/>
        <v>1587</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4726349</v>
      </c>
      <c r="O28" s="33">
        <v>0</v>
      </c>
      <c r="P28" s="33">
        <v>0</v>
      </c>
      <c r="Q28" s="33">
        <v>0</v>
      </c>
      <c r="R28" s="33">
        <v>0</v>
      </c>
      <c r="S28" s="33">
        <v>0</v>
      </c>
      <c r="T28" s="33">
        <v>0</v>
      </c>
      <c r="U28" s="33">
        <v>0</v>
      </c>
      <c r="V28" s="33">
        <v>-4729248</v>
      </c>
      <c r="W28" s="34">
        <f t="shared" si="3"/>
        <v>-2899</v>
      </c>
      <c r="X28" s="33">
        <v>2899</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22315014</v>
      </c>
      <c r="I30" s="36">
        <f t="shared" ref="I30:Y30" si="5">SUM(I10:I29)</f>
        <v>0</v>
      </c>
      <c r="J30" s="36">
        <f t="shared" si="5"/>
        <v>1115751</v>
      </c>
      <c r="K30" s="36">
        <f t="shared" si="5"/>
        <v>1664344</v>
      </c>
      <c r="L30" s="36">
        <f t="shared" si="5"/>
        <v>1069185</v>
      </c>
      <c r="M30" s="36">
        <f t="shared" si="5"/>
        <v>0</v>
      </c>
      <c r="N30" s="36">
        <f t="shared" si="5"/>
        <v>25951488</v>
      </c>
      <c r="O30" s="36">
        <f t="shared" si="5"/>
        <v>0</v>
      </c>
      <c r="P30" s="36">
        <f t="shared" si="5"/>
        <v>0</v>
      </c>
      <c r="Q30" s="36">
        <f t="shared" si="5"/>
        <v>0</v>
      </c>
      <c r="R30" s="36">
        <f t="shared" si="5"/>
        <v>0</v>
      </c>
      <c r="S30" s="36">
        <f t="shared" si="5"/>
        <v>0</v>
      </c>
      <c r="T30" s="36">
        <f t="shared" si="5"/>
        <v>0</v>
      </c>
      <c r="U30" s="36">
        <f t="shared" si="5"/>
        <v>0</v>
      </c>
      <c r="V30" s="36">
        <f t="shared" si="5"/>
        <v>5426672</v>
      </c>
      <c r="W30" s="36">
        <f t="shared" si="5"/>
        <v>55404084</v>
      </c>
      <c r="X30" s="36">
        <f t="shared" si="5"/>
        <v>32867</v>
      </c>
      <c r="Y30" s="36">
        <f t="shared" si="5"/>
        <v>55436951</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1587</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1587</v>
      </c>
      <c r="X32" s="34">
        <f t="shared" si="6"/>
        <v>0</v>
      </c>
      <c r="Y32" s="34">
        <f t="shared" si="6"/>
        <v>1587</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1587</v>
      </c>
      <c r="O33" s="34">
        <f t="shared" si="8"/>
        <v>0</v>
      </c>
      <c r="P33" s="34">
        <f t="shared" si="8"/>
        <v>0</v>
      </c>
      <c r="Q33" s="34">
        <f t="shared" si="8"/>
        <v>0</v>
      </c>
      <c r="R33" s="34">
        <f t="shared" si="8"/>
        <v>0</v>
      </c>
      <c r="S33" s="34">
        <f t="shared" ref="S33:T33" si="9">S11+S32</f>
        <v>0</v>
      </c>
      <c r="T33" s="34">
        <f t="shared" si="9"/>
        <v>0</v>
      </c>
      <c r="U33" s="34">
        <f t="shared" si="8"/>
        <v>0</v>
      </c>
      <c r="V33" s="34">
        <f t="shared" si="8"/>
        <v>5426672</v>
      </c>
      <c r="W33" s="34">
        <f t="shared" si="8"/>
        <v>5428259</v>
      </c>
      <c r="X33" s="34">
        <f t="shared" si="8"/>
        <v>0</v>
      </c>
      <c r="Y33" s="34">
        <f t="shared" si="8"/>
        <v>5428259</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4726349</v>
      </c>
      <c r="O34" s="36">
        <f t="shared" si="10"/>
        <v>0</v>
      </c>
      <c r="P34" s="36">
        <f t="shared" si="10"/>
        <v>0</v>
      </c>
      <c r="Q34" s="36">
        <f t="shared" si="10"/>
        <v>0</v>
      </c>
      <c r="R34" s="36">
        <f t="shared" si="10"/>
        <v>0</v>
      </c>
      <c r="S34" s="36">
        <f t="shared" ref="S34:T34" si="11">SUM(S21:S29)</f>
        <v>0</v>
      </c>
      <c r="T34" s="36">
        <f t="shared" si="11"/>
        <v>0</v>
      </c>
      <c r="U34" s="36">
        <f t="shared" si="10"/>
        <v>0</v>
      </c>
      <c r="V34" s="36">
        <f t="shared" si="10"/>
        <v>-4729248</v>
      </c>
      <c r="W34" s="36">
        <f t="shared" si="10"/>
        <v>-2899</v>
      </c>
      <c r="X34" s="36">
        <f t="shared" si="10"/>
        <v>2899</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 t="shared" ref="H36:U36" si="12">+H30</f>
        <v>22315014</v>
      </c>
      <c r="I36" s="33">
        <f t="shared" si="12"/>
        <v>0</v>
      </c>
      <c r="J36" s="33">
        <f t="shared" si="12"/>
        <v>1115751</v>
      </c>
      <c r="K36" s="33">
        <f t="shared" si="12"/>
        <v>1664344</v>
      </c>
      <c r="L36" s="33">
        <f t="shared" si="12"/>
        <v>1069185</v>
      </c>
      <c r="M36" s="33">
        <f t="shared" si="12"/>
        <v>0</v>
      </c>
      <c r="N36" s="33">
        <f t="shared" si="12"/>
        <v>25951488</v>
      </c>
      <c r="O36" s="33">
        <f t="shared" si="12"/>
        <v>0</v>
      </c>
      <c r="P36" s="33">
        <f t="shared" si="12"/>
        <v>0</v>
      </c>
      <c r="Q36" s="33">
        <f t="shared" si="12"/>
        <v>0</v>
      </c>
      <c r="R36" s="33">
        <f t="shared" si="12"/>
        <v>0</v>
      </c>
      <c r="S36" s="33">
        <f t="shared" si="12"/>
        <v>0</v>
      </c>
      <c r="T36" s="33">
        <f t="shared" si="12"/>
        <v>0</v>
      </c>
      <c r="U36" s="33">
        <f t="shared" si="12"/>
        <v>0</v>
      </c>
      <c r="V36" s="33">
        <f>+V30</f>
        <v>5426672</v>
      </c>
      <c r="W36" s="37">
        <f>H36+I36+J36+K36-L36+M36+N36+O36+P36+Q36+R36+U36+V36+S36+T36</f>
        <v>55404084</v>
      </c>
      <c r="X36" s="33">
        <f>+X30</f>
        <v>32867</v>
      </c>
      <c r="Y36" s="37">
        <f t="shared" ref="Y36:Y38" si="13">W36+X36</f>
        <v>55436951</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430</v>
      </c>
      <c r="B39" s="275"/>
      <c r="C39" s="275"/>
      <c r="D39" s="275"/>
      <c r="E39" s="275"/>
      <c r="F39" s="275"/>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25951488</v>
      </c>
      <c r="O39" s="34">
        <f t="shared" si="15"/>
        <v>0</v>
      </c>
      <c r="P39" s="34">
        <f t="shared" si="15"/>
        <v>0</v>
      </c>
      <c r="Q39" s="34">
        <f t="shared" si="15"/>
        <v>0</v>
      </c>
      <c r="R39" s="34">
        <f t="shared" si="15"/>
        <v>0</v>
      </c>
      <c r="S39" s="34">
        <f t="shared" si="15"/>
        <v>0</v>
      </c>
      <c r="T39" s="34">
        <f t="shared" si="15"/>
        <v>0</v>
      </c>
      <c r="U39" s="34">
        <f t="shared" si="15"/>
        <v>0</v>
      </c>
      <c r="V39" s="34">
        <f t="shared" si="15"/>
        <v>5426672</v>
      </c>
      <c r="W39" s="34">
        <f t="shared" si="15"/>
        <v>55404084</v>
      </c>
      <c r="X39" s="34">
        <f t="shared" si="15"/>
        <v>32867</v>
      </c>
      <c r="Y39" s="34">
        <f t="shared" si="15"/>
        <v>55436951</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3263284</v>
      </c>
      <c r="W40" s="37">
        <f t="shared" ref="W40:W58" si="16">H40+I40+J40+K40-L40+M40+N40+O40+P40+Q40+R40+U40+V40+S40+T40</f>
        <v>3263284</v>
      </c>
      <c r="X40" s="33">
        <v>0</v>
      </c>
      <c r="Y40" s="37">
        <f t="shared" ref="Y40:Y58" si="17">W40+X40</f>
        <v>3263284</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5423406</v>
      </c>
      <c r="O57" s="33">
        <v>0</v>
      </c>
      <c r="P57" s="33">
        <v>0</v>
      </c>
      <c r="Q57" s="33">
        <v>0</v>
      </c>
      <c r="R57" s="33">
        <v>0</v>
      </c>
      <c r="S57" s="33">
        <v>0</v>
      </c>
      <c r="T57" s="33">
        <v>0</v>
      </c>
      <c r="U57" s="33">
        <v>0</v>
      </c>
      <c r="V57" s="33">
        <v>-5426672</v>
      </c>
      <c r="W57" s="37">
        <f t="shared" si="16"/>
        <v>-3266</v>
      </c>
      <c r="X57" s="33">
        <v>3266</v>
      </c>
      <c r="Y57" s="37">
        <f t="shared" si="17"/>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433</v>
      </c>
      <c r="B59" s="270"/>
      <c r="C59" s="270"/>
      <c r="D59" s="270"/>
      <c r="E59" s="270"/>
      <c r="F59" s="270"/>
      <c r="G59" s="8">
        <v>51</v>
      </c>
      <c r="H59" s="36">
        <f>SUM(H39:H58)</f>
        <v>22315014</v>
      </c>
      <c r="I59" s="36">
        <f t="shared" ref="I59:Y59" si="18">SUM(I39:I58)</f>
        <v>0</v>
      </c>
      <c r="J59" s="36">
        <f t="shared" si="18"/>
        <v>1115751</v>
      </c>
      <c r="K59" s="36">
        <f t="shared" si="18"/>
        <v>1664344</v>
      </c>
      <c r="L59" s="36">
        <f t="shared" si="18"/>
        <v>1069185</v>
      </c>
      <c r="M59" s="36">
        <f t="shared" si="18"/>
        <v>0</v>
      </c>
      <c r="N59" s="36">
        <f t="shared" si="18"/>
        <v>31374894</v>
      </c>
      <c r="O59" s="36">
        <f t="shared" si="18"/>
        <v>0</v>
      </c>
      <c r="P59" s="36">
        <f t="shared" si="18"/>
        <v>0</v>
      </c>
      <c r="Q59" s="36">
        <f t="shared" si="18"/>
        <v>0</v>
      </c>
      <c r="R59" s="36">
        <f t="shared" si="18"/>
        <v>0</v>
      </c>
      <c r="S59" s="36">
        <f t="shared" si="18"/>
        <v>0</v>
      </c>
      <c r="T59" s="36">
        <f t="shared" si="18"/>
        <v>0</v>
      </c>
      <c r="U59" s="36">
        <f t="shared" si="18"/>
        <v>0</v>
      </c>
      <c r="V59" s="36">
        <f t="shared" si="18"/>
        <v>3263284</v>
      </c>
      <c r="W59" s="36">
        <f t="shared" si="18"/>
        <v>58664102</v>
      </c>
      <c r="X59" s="36">
        <f t="shared" si="18"/>
        <v>36133</v>
      </c>
      <c r="Y59" s="36">
        <f t="shared" si="18"/>
        <v>58700235</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7" t="s">
        <v>435</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3263284</v>
      </c>
      <c r="W62" s="37">
        <f t="shared" si="21"/>
        <v>3263284</v>
      </c>
      <c r="X62" s="37">
        <f t="shared" si="21"/>
        <v>0</v>
      </c>
      <c r="Y62" s="37">
        <f t="shared" si="21"/>
        <v>3263284</v>
      </c>
    </row>
    <row r="63" spans="1:25" ht="29.25" customHeight="1" x14ac:dyDescent="0.2">
      <c r="A63" s="268" t="s">
        <v>436</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5423406</v>
      </c>
      <c r="O63" s="38">
        <f t="shared" si="23"/>
        <v>0</v>
      </c>
      <c r="P63" s="38">
        <f t="shared" si="23"/>
        <v>0</v>
      </c>
      <c r="Q63" s="38">
        <f t="shared" si="23"/>
        <v>0</v>
      </c>
      <c r="R63" s="38">
        <f t="shared" si="23"/>
        <v>0</v>
      </c>
      <c r="S63" s="38">
        <f t="shared" ref="S63:T63" si="24">SUM(S50:S58)</f>
        <v>0</v>
      </c>
      <c r="T63" s="38">
        <f t="shared" si="24"/>
        <v>0</v>
      </c>
      <c r="U63" s="38">
        <f t="shared" si="23"/>
        <v>0</v>
      </c>
      <c r="V63" s="38">
        <f t="shared" si="23"/>
        <v>-5426672</v>
      </c>
      <c r="W63" s="38">
        <f t="shared" si="23"/>
        <v>-3266</v>
      </c>
      <c r="X63" s="38">
        <f t="shared" si="23"/>
        <v>3266</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K32" sqref="K32"/>
    </sheetView>
  </sheetViews>
  <sheetFormatPr defaultRowHeight="12.75" x14ac:dyDescent="0.2"/>
  <cols>
    <col min="9" max="9" width="95" customWidth="1"/>
  </cols>
  <sheetData>
    <row r="1" spans="1:9"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2025-07-29T12:32:21Z</cp:lastPrinted>
  <dcterms:created xsi:type="dcterms:W3CDTF">2008-10-17T11:51:54Z</dcterms:created>
  <dcterms:modified xsi:type="dcterms:W3CDTF">2025-07-30T09:32:52Z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